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\ダウンロード\"/>
    </mc:Choice>
  </mc:AlternateContent>
  <xr:revisionPtr revIDLastSave="0" documentId="13_ncr:1_{63EE3F19-6186-4B58-9A47-56E880D19C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7" r:id="rId1"/>
    <sheet name="鋼材の基準強度" sheetId="6" r:id="rId2"/>
  </sheets>
  <calcPr calcId="191029"/>
</workbook>
</file>

<file path=xl/calcChain.xml><?xml version="1.0" encoding="utf-8"?>
<calcChain xmlns="http://schemas.openxmlformats.org/spreadsheetml/2006/main">
  <c r="C119" i="7" l="1"/>
  <c r="C120" i="7"/>
  <c r="C121" i="7" s="1"/>
  <c r="C316" i="7"/>
  <c r="C313" i="7"/>
  <c r="C302" i="7"/>
  <c r="C292" i="7"/>
  <c r="C289" i="7"/>
  <c r="C279" i="7"/>
  <c r="C270" i="7"/>
  <c r="C261" i="7"/>
  <c r="C258" i="7"/>
  <c r="C248" i="7"/>
  <c r="C239" i="7"/>
  <c r="C236" i="7"/>
  <c r="C226" i="7"/>
  <c r="C217" i="7"/>
  <c r="C207" i="7"/>
  <c r="C198" i="7"/>
  <c r="C188" i="7"/>
  <c r="C179" i="7"/>
  <c r="C170" i="7"/>
  <c r="C160" i="7"/>
  <c r="C149" i="7"/>
  <c r="C138" i="7"/>
  <c r="C129" i="7"/>
  <c r="C110" i="7"/>
  <c r="C101" i="7"/>
  <c r="C98" i="7"/>
  <c r="C87" i="7"/>
  <c r="C77" i="7"/>
  <c r="C67" i="7"/>
  <c r="C57" i="7"/>
  <c r="C48" i="7"/>
  <c r="C45" i="7"/>
  <c r="C35" i="7"/>
  <c r="C26" i="7"/>
  <c r="C17" i="7"/>
  <c r="C7" i="7"/>
  <c r="C315" i="7"/>
  <c r="C312" i="7"/>
  <c r="C301" i="7"/>
  <c r="C291" i="7"/>
  <c r="C288" i="7"/>
  <c r="C278" i="7"/>
  <c r="C269" i="7"/>
  <c r="C260" i="7"/>
  <c r="C257" i="7"/>
  <c r="C247" i="7"/>
  <c r="C238" i="7"/>
  <c r="C235" i="7"/>
  <c r="C225" i="7"/>
  <c r="C216" i="7"/>
  <c r="C206" i="7"/>
  <c r="C197" i="7"/>
  <c r="C187" i="7"/>
  <c r="C178" i="7"/>
  <c r="C169" i="7"/>
  <c r="C159" i="7"/>
  <c r="C151" i="7"/>
  <c r="C148" i="7"/>
  <c r="C137" i="7"/>
  <c r="C128" i="7"/>
  <c r="C109" i="7"/>
  <c r="C100" i="7"/>
  <c r="C97" i="7"/>
  <c r="C86" i="7"/>
  <c r="C76" i="7"/>
  <c r="C66" i="7"/>
  <c r="C56" i="7"/>
  <c r="C47" i="7"/>
  <c r="C44" i="7"/>
  <c r="C34" i="7"/>
  <c r="C25" i="7"/>
  <c r="C16" i="7"/>
  <c r="C6" i="7"/>
  <c r="F27" i="6"/>
  <c r="H27" i="6" s="1"/>
  <c r="N27" i="6" s="1"/>
  <c r="P27" i="6" s="1"/>
  <c r="F26" i="6"/>
  <c r="H26" i="6" s="1"/>
  <c r="N26" i="6" s="1"/>
  <c r="P26" i="6" s="1"/>
  <c r="F25" i="6"/>
  <c r="H25" i="6" s="1"/>
  <c r="N25" i="6" s="1"/>
  <c r="P25" i="6" s="1"/>
  <c r="F24" i="6"/>
  <c r="H24" i="6" s="1"/>
  <c r="N24" i="6" s="1"/>
  <c r="P24" i="6" s="1"/>
  <c r="F23" i="6"/>
  <c r="J23" i="6" s="1"/>
  <c r="L23" i="6" s="1"/>
  <c r="F22" i="6"/>
  <c r="J22" i="6" s="1"/>
  <c r="L22" i="6" s="1"/>
  <c r="F21" i="6"/>
  <c r="J21" i="6" s="1"/>
  <c r="L21" i="6" s="1"/>
  <c r="F20" i="6"/>
  <c r="J20" i="6" s="1"/>
  <c r="L20" i="6" s="1"/>
  <c r="F19" i="6"/>
  <c r="H19" i="6" s="1"/>
  <c r="N19" i="6" s="1"/>
  <c r="P19" i="6" s="1"/>
  <c r="F18" i="6"/>
  <c r="H18" i="6" s="1"/>
  <c r="N18" i="6" s="1"/>
  <c r="P18" i="6" s="1"/>
  <c r="F17" i="6"/>
  <c r="H17" i="6" s="1"/>
  <c r="N17" i="6" s="1"/>
  <c r="P17" i="6" s="1"/>
  <c r="F16" i="6"/>
  <c r="H16" i="6" s="1"/>
  <c r="N16" i="6" s="1"/>
  <c r="P16" i="6" s="1"/>
  <c r="F15" i="6"/>
  <c r="J15" i="6" s="1"/>
  <c r="L15" i="6" s="1"/>
  <c r="F14" i="6"/>
  <c r="J14" i="6" s="1"/>
  <c r="L14" i="6" s="1"/>
  <c r="F13" i="6"/>
  <c r="H13" i="6" s="1"/>
  <c r="N13" i="6" s="1"/>
  <c r="P13" i="6" s="1"/>
  <c r="F12" i="6"/>
  <c r="H12" i="6" s="1"/>
  <c r="N12" i="6" s="1"/>
  <c r="P12" i="6" s="1"/>
  <c r="F11" i="6"/>
  <c r="H11" i="6" s="1"/>
  <c r="N11" i="6" s="1"/>
  <c r="P11" i="6" s="1"/>
  <c r="F10" i="6"/>
  <c r="H10" i="6" s="1"/>
  <c r="N10" i="6" s="1"/>
  <c r="P10" i="6" s="1"/>
  <c r="F9" i="6"/>
  <c r="H9" i="6" s="1"/>
  <c r="N9" i="6" s="1"/>
  <c r="P9" i="6" s="1"/>
  <c r="F8" i="6"/>
  <c r="H8" i="6" s="1"/>
  <c r="N8" i="6" s="1"/>
  <c r="P8" i="6" s="1"/>
  <c r="F7" i="6"/>
  <c r="J7" i="6" s="1"/>
  <c r="L7" i="6" s="1"/>
  <c r="F6" i="6"/>
  <c r="J6" i="6" s="1"/>
  <c r="L6" i="6" s="1"/>
  <c r="E27" i="6"/>
  <c r="I27" i="6" s="1"/>
  <c r="K27" i="6" s="1"/>
  <c r="E26" i="6"/>
  <c r="I26" i="6" s="1"/>
  <c r="K26" i="6" s="1"/>
  <c r="E25" i="6"/>
  <c r="I25" i="6" s="1"/>
  <c r="K25" i="6" s="1"/>
  <c r="E24" i="6"/>
  <c r="I24" i="6" s="1"/>
  <c r="K24" i="6" s="1"/>
  <c r="E23" i="6"/>
  <c r="I23" i="6" s="1"/>
  <c r="K23" i="6" s="1"/>
  <c r="E22" i="6"/>
  <c r="I22" i="6" s="1"/>
  <c r="K22" i="6" s="1"/>
  <c r="E21" i="6"/>
  <c r="I21" i="6" s="1"/>
  <c r="K21" i="6" s="1"/>
  <c r="E20" i="6"/>
  <c r="I20" i="6" s="1"/>
  <c r="K20" i="6" s="1"/>
  <c r="E19" i="6"/>
  <c r="I19" i="6" s="1"/>
  <c r="K19" i="6" s="1"/>
  <c r="E18" i="6"/>
  <c r="G18" i="6" s="1"/>
  <c r="M18" i="6" s="1"/>
  <c r="O18" i="6" s="1"/>
  <c r="E17" i="6"/>
  <c r="G17" i="6" s="1"/>
  <c r="M17" i="6" s="1"/>
  <c r="O17" i="6" s="1"/>
  <c r="E16" i="6"/>
  <c r="I16" i="6" s="1"/>
  <c r="K16" i="6" s="1"/>
  <c r="E15" i="6"/>
  <c r="I15" i="6" s="1"/>
  <c r="K15" i="6" s="1"/>
  <c r="E14" i="6"/>
  <c r="I14" i="6" s="1"/>
  <c r="K14" i="6" s="1"/>
  <c r="E13" i="6"/>
  <c r="I13" i="6" s="1"/>
  <c r="K13" i="6" s="1"/>
  <c r="E12" i="6"/>
  <c r="I12" i="6" s="1"/>
  <c r="K12" i="6" s="1"/>
  <c r="E11" i="6"/>
  <c r="I11" i="6" s="1"/>
  <c r="K11" i="6" s="1"/>
  <c r="E10" i="6"/>
  <c r="I10" i="6" s="1"/>
  <c r="K10" i="6" s="1"/>
  <c r="E9" i="6"/>
  <c r="G9" i="6" s="1"/>
  <c r="M9" i="6" s="1"/>
  <c r="O9" i="6" s="1"/>
  <c r="E8" i="6"/>
  <c r="I8" i="6" s="1"/>
  <c r="K8" i="6" s="1"/>
  <c r="E7" i="6"/>
  <c r="I7" i="6" s="1"/>
  <c r="K7" i="6" s="1"/>
  <c r="E6" i="6"/>
  <c r="I6" i="6" s="1"/>
  <c r="K6" i="6" s="1"/>
  <c r="C314" i="7" l="1"/>
  <c r="H20" i="6"/>
  <c r="N20" i="6" s="1"/>
  <c r="P20" i="6" s="1"/>
  <c r="J10" i="6"/>
  <c r="L10" i="6" s="1"/>
  <c r="C161" i="7"/>
  <c r="C317" i="7"/>
  <c r="C152" i="7"/>
  <c r="C290" i="7"/>
  <c r="C259" i="7"/>
  <c r="C208" i="7"/>
  <c r="C139" i="7"/>
  <c r="C171" i="7"/>
  <c r="C150" i="7"/>
  <c r="C130" i="7"/>
  <c r="C111" i="7"/>
  <c r="J18" i="6"/>
  <c r="L18" i="6" s="1"/>
  <c r="G20" i="6"/>
  <c r="M20" i="6" s="1"/>
  <c r="O20" i="6" s="1"/>
  <c r="J24" i="6"/>
  <c r="L24" i="6" s="1"/>
  <c r="J8" i="6"/>
  <c r="L8" i="6" s="1"/>
  <c r="J16" i="6"/>
  <c r="L16" i="6" s="1"/>
  <c r="G26" i="6"/>
  <c r="M26" i="6" s="1"/>
  <c r="O26" i="6" s="1"/>
  <c r="J26" i="6"/>
  <c r="L26" i="6" s="1"/>
  <c r="H14" i="6"/>
  <c r="N14" i="6" s="1"/>
  <c r="P14" i="6" s="1"/>
  <c r="G21" i="6"/>
  <c r="M21" i="6" s="1"/>
  <c r="O21" i="6" s="1"/>
  <c r="H15" i="6"/>
  <c r="N15" i="6" s="1"/>
  <c r="P15" i="6" s="1"/>
  <c r="J9" i="6"/>
  <c r="J17" i="6"/>
  <c r="L17" i="6" s="1"/>
  <c r="J25" i="6"/>
  <c r="L25" i="6" s="1"/>
  <c r="G10" i="6"/>
  <c r="M10" i="6" s="1"/>
  <c r="O10" i="6" s="1"/>
  <c r="G27" i="6"/>
  <c r="M27" i="6" s="1"/>
  <c r="O27" i="6" s="1"/>
  <c r="H21" i="6"/>
  <c r="N21" i="6" s="1"/>
  <c r="P21" i="6" s="1"/>
  <c r="J11" i="6"/>
  <c r="L11" i="6" s="1"/>
  <c r="J19" i="6"/>
  <c r="L19" i="6" s="1"/>
  <c r="J27" i="6"/>
  <c r="L27" i="6" s="1"/>
  <c r="G11" i="6"/>
  <c r="M11" i="6" s="1"/>
  <c r="O11" i="6" s="1"/>
  <c r="H6" i="6"/>
  <c r="N6" i="6" s="1"/>
  <c r="P6" i="6" s="1"/>
  <c r="H22" i="6"/>
  <c r="N22" i="6" s="1"/>
  <c r="P22" i="6" s="1"/>
  <c r="J12" i="6"/>
  <c r="L12" i="6" s="1"/>
  <c r="G12" i="6"/>
  <c r="M12" i="6" s="1"/>
  <c r="O12" i="6" s="1"/>
  <c r="H7" i="6"/>
  <c r="N7" i="6" s="1"/>
  <c r="P7" i="6" s="1"/>
  <c r="H23" i="6"/>
  <c r="N23" i="6" s="1"/>
  <c r="P23" i="6" s="1"/>
  <c r="J13" i="6"/>
  <c r="L13" i="6" s="1"/>
  <c r="G13" i="6"/>
  <c r="M13" i="6" s="1"/>
  <c r="O13" i="6" s="1"/>
  <c r="G19" i="6"/>
  <c r="M19" i="6" s="1"/>
  <c r="O19" i="6" s="1"/>
  <c r="I9" i="6"/>
  <c r="I17" i="6"/>
  <c r="K17" i="6" s="1"/>
  <c r="G6" i="6"/>
  <c r="M6" i="6" s="1"/>
  <c r="O6" i="6" s="1"/>
  <c r="G14" i="6"/>
  <c r="M14" i="6" s="1"/>
  <c r="O14" i="6" s="1"/>
  <c r="G22" i="6"/>
  <c r="M22" i="6" s="1"/>
  <c r="O22" i="6" s="1"/>
  <c r="I18" i="6"/>
  <c r="K18" i="6" s="1"/>
  <c r="G7" i="6"/>
  <c r="M7" i="6" s="1"/>
  <c r="O7" i="6" s="1"/>
  <c r="G15" i="6"/>
  <c r="M15" i="6" s="1"/>
  <c r="O15" i="6" s="1"/>
  <c r="G23" i="6"/>
  <c r="M23" i="6" s="1"/>
  <c r="O23" i="6" s="1"/>
  <c r="G8" i="6"/>
  <c r="M8" i="6" s="1"/>
  <c r="O8" i="6" s="1"/>
  <c r="G16" i="6"/>
  <c r="M16" i="6" s="1"/>
  <c r="O16" i="6" s="1"/>
  <c r="G24" i="6"/>
  <c r="M24" i="6" s="1"/>
  <c r="O24" i="6" s="1"/>
  <c r="G25" i="6"/>
  <c r="M25" i="6" s="1"/>
  <c r="O25" i="6" s="1"/>
  <c r="C293" i="7" l="1"/>
  <c r="C262" i="7"/>
  <c r="K9" i="6"/>
  <c r="C46" i="7"/>
  <c r="C99" i="7"/>
  <c r="C18" i="7"/>
  <c r="C88" i="7"/>
  <c r="C27" i="7"/>
  <c r="C78" i="7"/>
  <c r="C8" i="7"/>
  <c r="C68" i="7"/>
  <c r="C58" i="7"/>
  <c r="C36" i="7"/>
  <c r="L9" i="6"/>
  <c r="C102" i="7"/>
  <c r="C49" i="7"/>
  <c r="C180" i="7" l="1"/>
  <c r="C240" i="7"/>
  <c r="C271" i="7"/>
  <c r="C189" i="7"/>
  <c r="C237" i="7"/>
  <c r="C280" i="7"/>
  <c r="C227" i="7"/>
  <c r="C218" i="7"/>
  <c r="C303" i="7"/>
  <c r="C199" i="7"/>
  <c r="C249" i="7"/>
</calcChain>
</file>

<file path=xl/sharedStrings.xml><?xml version="1.0" encoding="utf-8"?>
<sst xmlns="http://schemas.openxmlformats.org/spreadsheetml/2006/main" count="494" uniqueCount="98">
  <si>
    <t>材料</t>
    <rPh sb="0" eb="2">
      <t>ザイリョウ</t>
    </rPh>
    <phoneticPr fontId="2"/>
  </si>
  <si>
    <t>建築構造用</t>
    <rPh sb="0" eb="5">
      <t>ケンチクコウゾウヨウ</t>
    </rPh>
    <phoneticPr fontId="2"/>
  </si>
  <si>
    <t>SN400</t>
    <phoneticPr fontId="2"/>
  </si>
  <si>
    <t>SNR400</t>
    <phoneticPr fontId="2"/>
  </si>
  <si>
    <t>STKN400</t>
    <phoneticPr fontId="2"/>
  </si>
  <si>
    <t>SN490</t>
    <phoneticPr fontId="2"/>
  </si>
  <si>
    <t>SNR490</t>
    <phoneticPr fontId="2"/>
  </si>
  <si>
    <t>STKN490</t>
    <phoneticPr fontId="2"/>
  </si>
  <si>
    <t>一般構造用</t>
    <rPh sb="0" eb="5">
      <t>イッパンコウゾウヨウ</t>
    </rPh>
    <phoneticPr fontId="2"/>
  </si>
  <si>
    <t>SS400</t>
    <phoneticPr fontId="2"/>
  </si>
  <si>
    <t>STK400</t>
    <phoneticPr fontId="2"/>
  </si>
  <si>
    <t>STKR400</t>
    <phoneticPr fontId="2"/>
  </si>
  <si>
    <t>SSC400</t>
    <phoneticPr fontId="2"/>
  </si>
  <si>
    <t>SWH400</t>
    <phoneticPr fontId="2"/>
  </si>
  <si>
    <t>SS490</t>
    <phoneticPr fontId="2"/>
  </si>
  <si>
    <t>SS540</t>
    <phoneticPr fontId="2"/>
  </si>
  <si>
    <t>溶接構造用</t>
    <rPh sb="0" eb="5">
      <t>ヨウセツコウゾウヨウ</t>
    </rPh>
    <phoneticPr fontId="2"/>
  </si>
  <si>
    <t>SM400</t>
    <phoneticPr fontId="2"/>
  </si>
  <si>
    <t>SMA400</t>
    <phoneticPr fontId="2"/>
  </si>
  <si>
    <t>SM490</t>
    <phoneticPr fontId="2"/>
  </si>
  <si>
    <t>SM490Y</t>
    <phoneticPr fontId="2"/>
  </si>
  <si>
    <t>SMA490</t>
    <phoneticPr fontId="2"/>
  </si>
  <si>
    <t>STKR490</t>
    <phoneticPr fontId="2"/>
  </si>
  <si>
    <t>STK490</t>
    <phoneticPr fontId="2"/>
  </si>
  <si>
    <t>SM520</t>
    <phoneticPr fontId="2"/>
  </si>
  <si>
    <t>SM570</t>
    <phoneticPr fontId="2"/>
  </si>
  <si>
    <t>せん断</t>
    <rPh sb="2" eb="3">
      <t>ダン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</si>
  <si>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</si>
  <si>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</si>
  <si>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引っ張り・圧縮・曲げ</t>
    <rPh sb="0" eb="1">
      <t>ヒ</t>
    </rPh>
    <rPh sb="2" eb="3">
      <t>パ</t>
    </rPh>
    <rPh sb="5" eb="7">
      <t>アッシュク</t>
    </rPh>
    <rPh sb="8" eb="9">
      <t>マ</t>
    </rPh>
    <phoneticPr fontId="2"/>
  </si>
  <si>
    <t>溶接部の許容応力度（N/mm2）</t>
    <rPh sb="0" eb="3">
      <t>ヨウセツブ</t>
    </rPh>
    <rPh sb="4" eb="9">
      <t>キョヨウオウリョクド</t>
    </rPh>
    <phoneticPr fontId="2"/>
  </si>
  <si>
    <r>
      <t>F</t>
    </r>
    <r>
      <rPr>
        <sz val="10"/>
        <rFont val="ＭＳ Ｐゴシック"/>
        <family val="3"/>
        <charset val="128"/>
      </rPr>
      <t>値
(</t>
    </r>
    <r>
      <rPr>
        <sz val="10"/>
        <rFont val="Arial"/>
        <family val="3"/>
      </rPr>
      <t>N/mm2)</t>
    </r>
    <rPh sb="1" eb="2">
      <t>アタイ</t>
    </rPh>
    <phoneticPr fontId="2"/>
  </si>
  <si>
    <t>引っ張り・圧縮・曲げ
（F/1.5）</t>
    <rPh sb="0" eb="1">
      <t>ヒ</t>
    </rPh>
    <rPh sb="2" eb="3">
      <t>パ</t>
    </rPh>
    <rPh sb="5" eb="7">
      <t>アッシュク</t>
    </rPh>
    <rPh sb="8" eb="9">
      <t>マ</t>
    </rPh>
    <phoneticPr fontId="2"/>
  </si>
  <si>
    <t>せん断
（F/1.5√3)</t>
    <rPh sb="2" eb="3">
      <t>ダン</t>
    </rPh>
    <phoneticPr fontId="2"/>
  </si>
  <si>
    <t>短期
(長期の1.5倍)</t>
    <rPh sb="0" eb="2">
      <t>タンキ</t>
    </rPh>
    <phoneticPr fontId="2"/>
  </si>
  <si>
    <t>突き合わせ
(90%)</t>
    <rPh sb="0" eb="1">
      <t>ツ</t>
    </rPh>
    <rPh sb="2" eb="3">
      <t>ア</t>
    </rPh>
    <phoneticPr fontId="2"/>
  </si>
  <si>
    <t>すみ肉
(60%)</t>
    <rPh sb="2" eb="3">
      <t>ニク</t>
    </rPh>
    <phoneticPr fontId="2"/>
  </si>
  <si>
    <t>※溶接部の許容応力度は溶接情報センターの情報を元に決定
「一般的には，突合せ溶接継手の許容応力は，母材の引張許容応力の0.9～1.0にとっているものが多く，また，溶接金属の引張強度の1/4～1/3，降伏点の1/2～2/3程度にとることが多い。すみ肉溶接継手の許容応力は，継手に作用する荷重の種類に関わらず，突合せ継手の引張許容応力の0.6～0.7程度にとるのが普通である。」</t>
    <rPh sb="1" eb="4">
      <t>ヨウセツブ</t>
    </rPh>
    <rPh sb="5" eb="10">
      <t>キョヨウオウリョクド</t>
    </rPh>
    <rPh sb="11" eb="15">
      <t>ヨウセツジョウホウ</t>
    </rPh>
    <rPh sb="20" eb="22">
      <t>ジョウホウ</t>
    </rPh>
    <rPh sb="23" eb="24">
      <t>モト</t>
    </rPh>
    <rPh sb="25" eb="27">
      <t>ケッテイ</t>
    </rPh>
    <phoneticPr fontId="2"/>
  </si>
  <si>
    <t>鋼材の許容応力度（N/mm2）
※板厚は40mm以下のみ</t>
    <rPh sb="0" eb="2">
      <t>コウザイ</t>
    </rPh>
    <rPh sb="3" eb="8">
      <t>キョヨウオウリョクド</t>
    </rPh>
    <rPh sb="17" eb="19">
      <t>イタアツ</t>
    </rPh>
    <rPh sb="24" eb="26">
      <t>イカ</t>
    </rPh>
    <phoneticPr fontId="2"/>
  </si>
  <si>
    <t>材質</t>
  </si>
  <si>
    <t>材質</t>
    <rPh sb="0" eb="2">
      <t xml:space="preserve">ザイシツ </t>
    </rPh>
    <phoneticPr fontId="5"/>
  </si>
  <si>
    <t>溶接部の許容応力</t>
  </si>
  <si>
    <t>溶接部の許容応力</t>
    <phoneticPr fontId="5"/>
  </si>
  <si>
    <t>N</t>
  </si>
  <si>
    <t>N</t>
    <phoneticPr fontId="5"/>
  </si>
  <si>
    <t>mm</t>
  </si>
  <si>
    <t>mm</t>
    <phoneticPr fontId="5"/>
  </si>
  <si>
    <t>N/mm2</t>
  </si>
  <si>
    <t>N/mm2</t>
    <phoneticPr fontId="5"/>
  </si>
  <si>
    <t>判定</t>
  </si>
  <si>
    <t>判定</t>
    <rPh sb="0" eb="2">
      <t xml:space="preserve">ハンテイ </t>
    </rPh>
    <phoneticPr fontId="5"/>
  </si>
  <si>
    <t>溶接厚さ(h)</t>
  </si>
  <si>
    <t>溶接厚さ(h)</t>
    <rPh sb="0" eb="3">
      <t xml:space="preserve">ヨウセツアツサ </t>
    </rPh>
    <phoneticPr fontId="5"/>
  </si>
  <si>
    <t>溶接長さ(l)</t>
  </si>
  <si>
    <t>溶接長さ(l)</t>
    <rPh sb="0" eb="1">
      <t xml:space="preserve">ヨウセツナガサ </t>
    </rPh>
    <phoneticPr fontId="5"/>
  </si>
  <si>
    <t>溶接部にかかる応力(σ)</t>
  </si>
  <si>
    <t>溶接部にかかる応力(σ)</t>
    <rPh sb="0" eb="3">
      <t xml:space="preserve">ヨウセツブニカカルオウリョク </t>
    </rPh>
    <phoneticPr fontId="5"/>
  </si>
  <si>
    <t>荷重(P)</t>
  </si>
  <si>
    <t>荷重(P)</t>
    <rPh sb="0" eb="2">
      <t xml:space="preserve">カジュウ </t>
    </rPh>
    <phoneticPr fontId="5"/>
  </si>
  <si>
    <t>溶接厚さ(h1)</t>
    <rPh sb="0" eb="3">
      <t xml:space="preserve">ヨウセツアツサ </t>
    </rPh>
    <phoneticPr fontId="5"/>
  </si>
  <si>
    <t>溶接厚さ(h2)</t>
    <rPh sb="0" eb="3">
      <t xml:space="preserve">ヨウセツアツサ </t>
    </rPh>
    <phoneticPr fontId="5"/>
  </si>
  <si>
    <t>曲げモーメント(Mb)</t>
    <rPh sb="0" eb="1">
      <t xml:space="preserve">マゲモーメント </t>
    </rPh>
    <phoneticPr fontId="5"/>
  </si>
  <si>
    <t>Nm</t>
    <phoneticPr fontId="5"/>
  </si>
  <si>
    <t>溶接部にかかる曲応力(σb)</t>
    <rPh sb="7" eb="8">
      <t xml:space="preserve">マゲモーメント </t>
    </rPh>
    <rPh sb="8" eb="10">
      <t xml:space="preserve">オウリョク </t>
    </rPh>
    <phoneticPr fontId="5"/>
  </si>
  <si>
    <t>荷重までの距離(L)</t>
    <rPh sb="0" eb="2">
      <t xml:space="preserve">カジュウマデノキョリ </t>
    </rPh>
    <phoneticPr fontId="5"/>
  </si>
  <si>
    <t>溶接部にかかるせん断応力(τ)</t>
    <rPh sb="10" eb="12">
      <t xml:space="preserve">オウリョク </t>
    </rPh>
    <phoneticPr fontId="5"/>
  </si>
  <si>
    <t>板厚さ(T)</t>
    <rPh sb="0" eb="1">
      <t xml:space="preserve">イタ </t>
    </rPh>
    <phoneticPr fontId="5"/>
  </si>
  <si>
    <t>溶接厚さ(h1)</t>
    <phoneticPr fontId="5"/>
  </si>
  <si>
    <t>溶接厚さ(h2)</t>
    <phoneticPr fontId="5"/>
  </si>
  <si>
    <t>溶接脚長(h)</t>
    <rPh sb="2" eb="4">
      <t xml:space="preserve">キャクチョウ </t>
    </rPh>
    <phoneticPr fontId="5"/>
  </si>
  <si>
    <t>STKR400</t>
  </si>
  <si>
    <t>溶接脚長(h1)</t>
    <rPh sb="2" eb="4">
      <t xml:space="preserve">キャクチョウ </t>
    </rPh>
    <phoneticPr fontId="5"/>
  </si>
  <si>
    <t>溶接脚長(h2)</t>
    <rPh sb="2" eb="4">
      <t xml:space="preserve">キャクチョウ </t>
    </rPh>
    <phoneticPr fontId="5"/>
  </si>
  <si>
    <t>溶接脚長(h3)</t>
    <rPh sb="2" eb="4">
      <t xml:space="preserve">キャクチョウ </t>
    </rPh>
    <phoneticPr fontId="5"/>
  </si>
  <si>
    <t>溶接部にかかる応力(σ)A</t>
    <phoneticPr fontId="5"/>
  </si>
  <si>
    <t>溶接部にかかる応力(σ)B</t>
    <phoneticPr fontId="5"/>
  </si>
  <si>
    <t>溶接長さ(l1)</t>
    <phoneticPr fontId="5"/>
  </si>
  <si>
    <t>溶接長さ(l2)</t>
    <phoneticPr fontId="5"/>
  </si>
  <si>
    <t>ねじりモーメント(Mt)</t>
    <phoneticPr fontId="5"/>
  </si>
  <si>
    <t>脚長(h)</t>
    <rPh sb="0" eb="2">
      <t xml:space="preserve">キャクチョウ </t>
    </rPh>
    <phoneticPr fontId="5"/>
  </si>
  <si>
    <t>直径(D)</t>
    <rPh sb="0" eb="2">
      <t xml:space="preserve">チョッケイ </t>
    </rPh>
    <phoneticPr fontId="5"/>
  </si>
  <si>
    <t>曲げモーメント(Mb)</t>
    <rPh sb="0" eb="1">
      <t xml:space="preserve">マゲ </t>
    </rPh>
    <phoneticPr fontId="5"/>
  </si>
  <si>
    <t>縦の長さ(b)</t>
    <rPh sb="0" eb="1">
      <t xml:space="preserve">タテノナガサ </t>
    </rPh>
    <phoneticPr fontId="5"/>
  </si>
  <si>
    <t>横の長さ(l)</t>
    <rPh sb="0" eb="1">
      <t xml:space="preserve">ヨコノナガサ </t>
    </rPh>
    <phoneticPr fontId="5"/>
  </si>
  <si>
    <t>溶接部長さ(l)</t>
    <rPh sb="0" eb="3">
      <t xml:space="preserve">ヨウセツブ </t>
    </rPh>
    <phoneticPr fontId="5"/>
  </si>
  <si>
    <t>溶接部にかかる最大応力(σmax)</t>
    <rPh sb="7" eb="9">
      <t xml:space="preserve">サイダイ </t>
    </rPh>
    <rPh sb="9" eb="11">
      <t xml:space="preserve">オウリョク </t>
    </rPh>
    <phoneticPr fontId="5"/>
  </si>
  <si>
    <t>溶接部にかかる平均せん断応力(τav)</t>
    <rPh sb="7" eb="9">
      <t xml:space="preserve">ヘイキン </t>
    </rPh>
    <rPh sb="12" eb="14">
      <t xml:space="preserve">オウリョク </t>
    </rPh>
    <phoneticPr fontId="5"/>
  </si>
  <si>
    <t>板厚(h)</t>
    <rPh sb="0" eb="2">
      <t xml:space="preserve">イタアツ </t>
    </rPh>
    <phoneticPr fontId="5"/>
  </si>
  <si>
    <t>溶接部にかかるまげ応力(σb)</t>
    <rPh sb="9" eb="11">
      <t xml:space="preserve">オウリョク </t>
    </rPh>
    <phoneticPr fontId="5"/>
  </si>
  <si>
    <t>横の長さ(h)</t>
    <rPh sb="0" eb="1">
      <t xml:space="preserve">ヨコノナガサ </t>
    </rPh>
    <phoneticPr fontId="5"/>
  </si>
  <si>
    <t>縦の長さ(l)</t>
    <rPh sb="0" eb="1">
      <t xml:space="preserve">タテノ </t>
    </rPh>
    <phoneticPr fontId="5"/>
  </si>
  <si>
    <t>溶接脚長(h)</t>
    <rPh sb="0" eb="2">
      <t xml:space="preserve">ヨウセツ </t>
    </rPh>
    <rPh sb="2" eb="4">
      <t xml:space="preserve">キャクチョウ </t>
    </rPh>
    <phoneticPr fontId="5"/>
  </si>
  <si>
    <t>溶接脚長(h)</t>
    <rPh sb="0" eb="2">
      <t xml:space="preserve">ヨウセツブ </t>
    </rPh>
    <rPh sb="2" eb="4">
      <t xml:space="preserve">キャクチョウ </t>
    </rPh>
    <phoneticPr fontId="5"/>
  </si>
  <si>
    <t>溶接部の長さ(l)</t>
    <rPh sb="0" eb="3">
      <t xml:space="preserve">ヨウセツブ </t>
    </rPh>
    <phoneticPr fontId="5"/>
  </si>
  <si>
    <t>板厚(l)</t>
    <rPh sb="0" eb="2">
      <t xml:space="preserve">イタアツ </t>
    </rPh>
    <phoneticPr fontId="5"/>
  </si>
  <si>
    <t>溶接部の長さ(T)</t>
    <rPh sb="0" eb="3">
      <t xml:space="preserve">ヨウセツブ </t>
    </rPh>
    <phoneticPr fontId="5"/>
  </si>
  <si>
    <r>
      <rPr>
        <sz val="11"/>
        <rFont val="ＭＳ ゴシック"/>
        <family val="3"/>
        <charset val="128"/>
      </rPr>
      <t>溶接部にかかる応力</t>
    </r>
    <r>
      <rPr>
        <sz val="11"/>
        <rFont val="Arial"/>
        <family val="2"/>
      </rPr>
      <t xml:space="preserve">(σ)
</t>
    </r>
    <r>
      <rPr>
        <sz val="11"/>
        <rFont val="ＭＳ ゴシック"/>
        <family val="3"/>
        <charset val="128"/>
      </rPr>
      <t>※突き合わせの場合</t>
    </r>
    <rPh sb="14" eb="15">
      <t xml:space="preserve">ツキアワセノバアイ </t>
    </rPh>
    <phoneticPr fontId="5"/>
  </si>
  <si>
    <r>
      <rPr>
        <sz val="11"/>
        <rFont val="ＭＳ ゴシック"/>
        <family val="3"/>
        <charset val="128"/>
      </rPr>
      <t>溶接部にかかる応力</t>
    </r>
    <r>
      <rPr>
        <sz val="11"/>
        <rFont val="Arial"/>
        <family val="2"/>
      </rPr>
      <t xml:space="preserve">(σ)
</t>
    </r>
    <r>
      <rPr>
        <sz val="11"/>
        <rFont val="ＭＳ ゴシック"/>
        <family val="3"/>
        <charset val="128"/>
      </rPr>
      <t>※隅肉の場合</t>
    </r>
    <rPh sb="14" eb="16">
      <t xml:space="preserve">スミニク 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</si>
</sst>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</font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3"/>
    </font>
    <font>
      <sz val="6"/>
      <name val="07AkazukinPop Heavy"/>
      <family val="3"/>
      <charset val="128"/>
    </font>
    <font>
      <sz val="11"/>
      <name val="Arial"/>
      <family val="2"/>
    </font>
    <font>
      <sz val="11"/>
      <name val="Arial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/>
    <xf numFmtId="0" fontId="1" fillId="0" borderId="1" xfId="0" applyFont="1" applyBorder="1"/>
    <xf numFmtId="0" fontId="1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0" xfId="0" applyFont="1"/>
    <xf numFmtId="0" fontId="6" fillId="0" borderId="1" xfId="0" applyFont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Border="1" applyAlignment="1">
      <alignment horizontal="right" vertical="center"/>
    </xf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7" fillId="0" borderId="29" xfId="0" applyFont="1" applyBorder="1" applyAlignment="1">
      <alignment wrapText="1"/>
    </xf>
    <xf numFmtId="0" fontId="6" fillId="0" borderId="31" xfId="0" applyFont="1" applyBorder="1"/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7" xfId="0" applyFont="1" applyBorder="1" applyAlignment="1">
      <alignment horizontal="right" vertical="center"/>
    </xf>
    <xf numFmtId="0" fontId="6" fillId="0" borderId="38" xfId="0" applyFont="1" applyBorder="1"/>
    <xf numFmtId="0" fontId="6" fillId="0" borderId="39" xfId="0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right" vertical="center"/>
    </xf>
    <xf numFmtId="0" fontId="6" fillId="2" borderId="30" xfId="0" applyFont="1" applyFill="1" applyBorder="1"/>
    <xf numFmtId="0" fontId="6" fillId="2" borderId="39" xfId="0" applyFont="1" applyFill="1" applyBorder="1" applyAlignment="1">
      <alignment horizontal="right" vertical="center"/>
    </xf>
    <xf numFmtId="0" fontId="6" fillId="0" borderId="30" xfId="0" applyFont="1" applyFill="1" applyBorder="1"/>
    <xf numFmtId="0" fontId="6" fillId="0" borderId="30" xfId="0" applyFont="1" applyBorder="1" applyAlignment="1">
      <alignment horizontal="left" vertical="center"/>
    </xf>
    <xf numFmtId="0" fontId="6" fillId="2" borderId="3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119592</xdr:colOff>
      <xdr:row>307</xdr:row>
      <xdr:rowOff>148166</xdr:rowOff>
    </xdr:from>
    <xdr:to>
      <xdr:col>0</xdr:col>
      <xdr:colOff>1451592</xdr:colOff>
      <xdr:row>313</xdr:row>
      <xdr:rowOff>68687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E873EAB-5720-1052-CC06-9222CD3D91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9592" y="55707491"/>
          <a:ext cx="1332000" cy="1187346"/>
        </a:xfrm>
        <a:prstGeom prst="rect">
          <a:avLst/>
        </a:prstGeom>
      </xdr:spPr>
    </xdr:pic>
    <xdr:clientData/>
  </xdr:twoCellAnchor>
  <xdr:twoCellAnchor editAs="oneCell">
    <xdr:from>
      <xdr:col>0</xdr:col>
      <xdr:colOff>109537</xdr:colOff>
      <xdr:row>1</xdr:row>
      <xdr:rowOff>53975</xdr:rowOff>
    </xdr:from>
    <xdr:to>
      <xdr:col>0</xdr:col>
      <xdr:colOff>1441537</xdr:colOff>
      <xdr:row>7</xdr:row>
      <xdr:rowOff>65680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56FE6B3-0324-AA4E-9BE5-1756FA9937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9537" y="234950"/>
          <a:ext cx="1332000" cy="1097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136525</xdr:colOff>
      <xdr:row>10</xdr:row>
      <xdr:rowOff>25401</xdr:rowOff>
    </xdr:from>
    <xdr:to>
      <xdr:col>0</xdr:col>
      <xdr:colOff>1468525</xdr:colOff>
      <xdr:row>16</xdr:row>
      <xdr:rowOff>27520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E9C4FDD-8FC2-3A4E-AEDE-5724DC1FC6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6525" y="1482726"/>
          <a:ext cx="1332000" cy="108796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20</xdr:row>
      <xdr:rowOff>53975</xdr:rowOff>
    </xdr:from>
    <xdr:to>
      <xdr:col>0</xdr:col>
      <xdr:colOff>1436775</xdr:colOff>
      <xdr:row>26</xdr:row>
      <xdr:rowOff>60781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0122EAE-9AE0-0C41-9589-2905C9717D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4775" y="2968625"/>
          <a:ext cx="1332000" cy="1092656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29</xdr:row>
      <xdr:rowOff>0</xdr:rowOff>
    </xdr:from>
    <xdr:to>
      <xdr:col>0</xdr:col>
      <xdr:colOff>1417725</xdr:colOff>
      <xdr:row>35</xdr:row>
      <xdr:rowOff>28419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F1827E0-2BEE-AC46-8E98-D2321AF023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5725" y="4210050"/>
          <a:ext cx="1332000" cy="1114269"/>
        </a:xfrm>
        <a:prstGeom prst="rect">
          <a:avLst/>
        </a:prstGeom>
      </xdr:spPr>
    </xdr:pic>
    <xdr:clientData/>
  </xdr:twoCellAnchor>
  <xdr:twoCellAnchor editAs="oneCell">
    <xdr:from>
      <xdr:col>0</xdr:col>
      <xdr:colOff>130175</xdr:colOff>
      <xdr:row>38</xdr:row>
      <xdr:rowOff>0</xdr:rowOff>
    </xdr:from>
    <xdr:to>
      <xdr:col>0</xdr:col>
      <xdr:colOff>1462175</xdr:colOff>
      <xdr:row>44</xdr:row>
      <xdr:rowOff>44252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15AC3A0A-97E9-9242-81C8-5A442CD275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0175" y="5505450"/>
          <a:ext cx="1332000" cy="1130102"/>
        </a:xfrm>
        <a:prstGeom prst="rect">
          <a:avLst/>
        </a:prstGeom>
      </xdr:spPr>
    </xdr:pic>
    <xdr:clientData/>
  </xdr:twoCellAnchor>
  <xdr:twoCellAnchor editAs="oneCell">
    <xdr:from>
      <xdr:col>0</xdr:col>
      <xdr:colOff>99484</xdr:colOff>
      <xdr:row>50</xdr:row>
      <xdr:rowOff>66676</xdr:rowOff>
    </xdr:from>
    <xdr:to>
      <xdr:col>0</xdr:col>
      <xdr:colOff>1431484</xdr:colOff>
      <xdr:row>57</xdr:row>
      <xdr:rowOff>67026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B1876768-4983-AD43-9BEB-DC6B05030A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9484" y="8162926"/>
          <a:ext cx="1332000" cy="1267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44451</xdr:rowOff>
    </xdr:from>
    <xdr:to>
      <xdr:col>0</xdr:col>
      <xdr:colOff>1332000</xdr:colOff>
      <xdr:row>67</xdr:row>
      <xdr:rowOff>37625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E22813DC-AD9E-A24A-AE79-4BBD6DE656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0" y="9759951"/>
          <a:ext cx="1332000" cy="1259999"/>
        </a:xfrm>
        <a:prstGeom prst="rect">
          <a:avLst/>
        </a:prstGeom>
      </xdr:spPr>
    </xdr:pic>
    <xdr:clientData/>
  </xdr:twoCellAnchor>
  <xdr:twoCellAnchor editAs="oneCell">
    <xdr:from>
      <xdr:col>0</xdr:col>
      <xdr:colOff>88900</xdr:colOff>
      <xdr:row>70</xdr:row>
      <xdr:rowOff>50801</xdr:rowOff>
    </xdr:from>
    <xdr:to>
      <xdr:col>0</xdr:col>
      <xdr:colOff>1420900</xdr:colOff>
      <xdr:row>77</xdr:row>
      <xdr:rowOff>3535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1FDD706-8A2B-5B49-BD9B-FE012FBA311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8900" y="11385551"/>
          <a:ext cx="1332000" cy="1219559"/>
        </a:xfrm>
        <a:prstGeom prst="rect">
          <a:avLst/>
        </a:prstGeom>
      </xdr:spPr>
    </xdr:pic>
    <xdr:clientData/>
  </xdr:twoCellAnchor>
  <xdr:twoCellAnchor editAs="oneCell">
    <xdr:from>
      <xdr:col>0</xdr:col>
      <xdr:colOff>69849</xdr:colOff>
      <xdr:row>80</xdr:row>
      <xdr:rowOff>52916</xdr:rowOff>
    </xdr:from>
    <xdr:to>
      <xdr:col>0</xdr:col>
      <xdr:colOff>1401849</xdr:colOff>
      <xdr:row>87</xdr:row>
      <xdr:rowOff>5649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35A95AC7-982A-5A4C-9775-D152982208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849" y="13006916"/>
          <a:ext cx="1332000" cy="1219558"/>
        </a:xfrm>
        <a:prstGeom prst="rect">
          <a:avLst/>
        </a:prstGeom>
      </xdr:spPr>
    </xdr:pic>
    <xdr:clientData/>
  </xdr:twoCellAnchor>
  <xdr:twoCellAnchor editAs="oneCell">
    <xdr:from>
      <xdr:col>0</xdr:col>
      <xdr:colOff>75141</xdr:colOff>
      <xdr:row>91</xdr:row>
      <xdr:rowOff>158749</xdr:rowOff>
    </xdr:from>
    <xdr:to>
      <xdr:col>0</xdr:col>
      <xdr:colOff>1407141</xdr:colOff>
      <xdr:row>98</xdr:row>
      <xdr:rowOff>107310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95BDFF61-6D3B-6041-B6DC-15553D9298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5141" y="14893924"/>
          <a:ext cx="1332000" cy="1215386"/>
        </a:xfrm>
        <a:prstGeom prst="rect">
          <a:avLst/>
        </a:prstGeom>
      </xdr:spPr>
    </xdr:pic>
    <xdr:clientData/>
  </xdr:twoCellAnchor>
  <xdr:twoCellAnchor editAs="oneCell">
    <xdr:from>
      <xdr:col>0</xdr:col>
      <xdr:colOff>83608</xdr:colOff>
      <xdr:row>103</xdr:row>
      <xdr:rowOff>75142</xdr:rowOff>
    </xdr:from>
    <xdr:to>
      <xdr:col>0</xdr:col>
      <xdr:colOff>1415608</xdr:colOff>
      <xdr:row>110</xdr:row>
      <xdr:rowOff>33931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8666A4A1-1622-3B40-BDC7-8802D17488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3608" y="16753417"/>
          <a:ext cx="1332000" cy="1225614"/>
        </a:xfrm>
        <a:prstGeom prst="rect">
          <a:avLst/>
        </a:prstGeom>
      </xdr:spPr>
    </xdr:pic>
    <xdr:clientData/>
  </xdr:twoCellAnchor>
  <xdr:twoCellAnchor editAs="oneCell">
    <xdr:from>
      <xdr:col>0</xdr:col>
      <xdr:colOff>103715</xdr:colOff>
      <xdr:row>113</xdr:row>
      <xdr:rowOff>28576</xdr:rowOff>
    </xdr:from>
    <xdr:to>
      <xdr:col>0</xdr:col>
      <xdr:colOff>1435715</xdr:colOff>
      <xdr:row>120</xdr:row>
      <xdr:rowOff>37050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AC69D32-2D02-8B48-97EE-491F84AC5A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3715" y="18326101"/>
          <a:ext cx="1332000" cy="1275299"/>
        </a:xfrm>
        <a:prstGeom prst="rect">
          <a:avLst/>
        </a:prstGeom>
      </xdr:spPr>
    </xdr:pic>
    <xdr:clientData/>
  </xdr:twoCellAnchor>
  <xdr:twoCellAnchor editAs="oneCell">
    <xdr:from>
      <xdr:col>0</xdr:col>
      <xdr:colOff>77256</xdr:colOff>
      <xdr:row>122</xdr:row>
      <xdr:rowOff>178857</xdr:rowOff>
    </xdr:from>
    <xdr:to>
      <xdr:col>0</xdr:col>
      <xdr:colOff>1409256</xdr:colOff>
      <xdr:row>129</xdr:row>
      <xdr:rowOff>145139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4F513598-1095-5146-9DDA-6924F04B13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7256" y="22362582"/>
          <a:ext cx="1332000" cy="1233107"/>
        </a:xfrm>
        <a:prstGeom prst="rect">
          <a:avLst/>
        </a:prstGeom>
      </xdr:spPr>
    </xdr:pic>
    <xdr:clientData/>
  </xdr:twoCellAnchor>
  <xdr:twoCellAnchor editAs="oneCell">
    <xdr:from>
      <xdr:col>0</xdr:col>
      <xdr:colOff>81492</xdr:colOff>
      <xdr:row>131</xdr:row>
      <xdr:rowOff>70909</xdr:rowOff>
    </xdr:from>
    <xdr:to>
      <xdr:col>0</xdr:col>
      <xdr:colOff>1413492</xdr:colOff>
      <xdr:row>138</xdr:row>
      <xdr:rowOff>60687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0E1BC3D-4B46-CA40-BCCC-66002428C9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1492" y="21283084"/>
          <a:ext cx="1332000" cy="1256603"/>
        </a:xfrm>
        <a:prstGeom prst="rect">
          <a:avLst/>
        </a:prstGeom>
      </xdr:spPr>
    </xdr:pic>
    <xdr:clientData/>
  </xdr:twoCellAnchor>
  <xdr:twoCellAnchor editAs="oneCell">
    <xdr:from>
      <xdr:col>0</xdr:col>
      <xdr:colOff>106893</xdr:colOff>
      <xdr:row>142</xdr:row>
      <xdr:rowOff>177799</xdr:rowOff>
    </xdr:from>
    <xdr:to>
      <xdr:col>0</xdr:col>
      <xdr:colOff>1438893</xdr:colOff>
      <xdr:row>149</xdr:row>
      <xdr:rowOff>146569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DE8097D-4F31-A24D-B122-867EAB148F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6893" y="26009599"/>
          <a:ext cx="1332000" cy="123559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153</xdr:row>
      <xdr:rowOff>153458</xdr:rowOff>
    </xdr:from>
    <xdr:to>
      <xdr:col>0</xdr:col>
      <xdr:colOff>1379625</xdr:colOff>
      <xdr:row>159</xdr:row>
      <xdr:rowOff>174041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42BFE560-697E-114C-A918-886FE604237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7625" y="24927983"/>
          <a:ext cx="1332000" cy="110643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163</xdr:row>
      <xdr:rowOff>48685</xdr:rowOff>
    </xdr:from>
    <xdr:to>
      <xdr:col>0</xdr:col>
      <xdr:colOff>1389150</xdr:colOff>
      <xdr:row>169</xdr:row>
      <xdr:rowOff>114123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520BEE8D-C0F9-4B45-B9F8-1C2C550DC5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7150" y="26442460"/>
          <a:ext cx="1332000" cy="1151288"/>
        </a:xfrm>
        <a:prstGeom prst="rect">
          <a:avLst/>
        </a:prstGeom>
      </xdr:spPr>
    </xdr:pic>
    <xdr:clientData/>
  </xdr:twoCellAnchor>
  <xdr:twoCellAnchor editAs="oneCell">
    <xdr:from>
      <xdr:col>0</xdr:col>
      <xdr:colOff>77258</xdr:colOff>
      <xdr:row>172</xdr:row>
      <xdr:rowOff>99480</xdr:rowOff>
    </xdr:from>
    <xdr:to>
      <xdr:col>0</xdr:col>
      <xdr:colOff>1409258</xdr:colOff>
      <xdr:row>179</xdr:row>
      <xdr:rowOff>16167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7DB9D74D-C49F-F347-8F91-5C03D733CC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7258" y="27950580"/>
          <a:ext cx="1332000" cy="1183512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182</xdr:row>
      <xdr:rowOff>67733</xdr:rowOff>
    </xdr:from>
    <xdr:to>
      <xdr:col>0</xdr:col>
      <xdr:colOff>1427251</xdr:colOff>
      <xdr:row>188</xdr:row>
      <xdr:rowOff>144341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34519B5F-6865-8740-9D0E-5739BDD038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5251" y="33167108"/>
          <a:ext cx="1332000" cy="1162458"/>
        </a:xfrm>
        <a:prstGeom prst="rect">
          <a:avLst/>
        </a:prstGeom>
      </xdr:spPr>
    </xdr:pic>
    <xdr:clientData/>
  </xdr:twoCellAnchor>
  <xdr:twoCellAnchor editAs="oneCell">
    <xdr:from>
      <xdr:col>0</xdr:col>
      <xdr:colOff>81492</xdr:colOff>
      <xdr:row>191</xdr:row>
      <xdr:rowOff>65617</xdr:rowOff>
    </xdr:from>
    <xdr:to>
      <xdr:col>0</xdr:col>
      <xdr:colOff>1413492</xdr:colOff>
      <xdr:row>197</xdr:row>
      <xdr:rowOff>122804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B527D9CB-0E18-7246-AD4B-59B7AEB5FE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81492" y="30993292"/>
          <a:ext cx="1332000" cy="114303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66674</xdr:colOff>
      <xdr:row>201</xdr:row>
      <xdr:rowOff>30692</xdr:rowOff>
    </xdr:from>
    <xdr:to>
      <xdr:col>0</xdr:col>
      <xdr:colOff>1398674</xdr:colOff>
      <xdr:row>208</xdr:row>
      <xdr:rowOff>5563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699B2016-FE21-3A44-822A-C7CCD7F79E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6674" y="36587642"/>
          <a:ext cx="1332000" cy="124169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209</xdr:row>
      <xdr:rowOff>127000</xdr:rowOff>
    </xdr:from>
    <xdr:to>
      <xdr:col>0</xdr:col>
      <xdr:colOff>1465349</xdr:colOff>
      <xdr:row>216</xdr:row>
      <xdr:rowOff>100074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3F3F6D5D-DBF3-2C4C-B1B0-59062FBC25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33349" y="33969325"/>
          <a:ext cx="1332000" cy="1239899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</xdr:colOff>
      <xdr:row>220</xdr:row>
      <xdr:rowOff>14815</xdr:rowOff>
    </xdr:from>
    <xdr:to>
      <xdr:col>0</xdr:col>
      <xdr:colOff>1358458</xdr:colOff>
      <xdr:row>226</xdr:row>
      <xdr:rowOff>159613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95233EE-7289-0148-A0CB-9A12D4AC26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458" y="40029340"/>
          <a:ext cx="1332000" cy="1230648"/>
        </a:xfrm>
        <a:prstGeom prst="rect">
          <a:avLst/>
        </a:prstGeom>
      </xdr:spPr>
    </xdr:pic>
    <xdr:clientData/>
  </xdr:twoCellAnchor>
  <xdr:twoCellAnchor editAs="oneCell">
    <xdr:from>
      <xdr:col>0</xdr:col>
      <xdr:colOff>69849</xdr:colOff>
      <xdr:row>230</xdr:row>
      <xdr:rowOff>67732</xdr:rowOff>
    </xdr:from>
    <xdr:to>
      <xdr:col>0</xdr:col>
      <xdr:colOff>1401849</xdr:colOff>
      <xdr:row>237</xdr:row>
      <xdr:rowOff>10807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10B47FF6-3C94-D44B-B742-666C03D176B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849" y="37310482"/>
          <a:ext cx="1332000" cy="1209900"/>
        </a:xfrm>
        <a:prstGeom prst="rect">
          <a:avLst/>
        </a:prstGeom>
      </xdr:spPr>
    </xdr:pic>
    <xdr:clientData/>
  </xdr:twoCellAnchor>
  <xdr:twoCellAnchor editAs="oneCell">
    <xdr:from>
      <xdr:col>0</xdr:col>
      <xdr:colOff>77259</xdr:colOff>
      <xdr:row>242</xdr:row>
      <xdr:rowOff>30692</xdr:rowOff>
    </xdr:from>
    <xdr:to>
      <xdr:col>0</xdr:col>
      <xdr:colOff>1409259</xdr:colOff>
      <xdr:row>248</xdr:row>
      <xdr:rowOff>175032</xdr:rowOff>
    </xdr:to>
    <xdr:pic>
      <xdr:nvPicPr>
        <xdr:cNvPr id="28" name="図 27">
          <a:extLst>
            <a:ext uri="{FF2B5EF4-FFF2-40B4-BE49-F238E27FC236}">
              <a16:creationId xmlns:a16="http://schemas.microsoft.com/office/drawing/2014/main" id="{00414EE2-989B-794A-89F7-C78FA619EE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7259" y="44045717"/>
          <a:ext cx="1332000" cy="1230190"/>
        </a:xfrm>
        <a:prstGeom prst="rect">
          <a:avLst/>
        </a:prstGeom>
      </xdr:spPr>
    </xdr:pic>
    <xdr:clientData/>
  </xdr:twoCellAnchor>
  <xdr:twoCellAnchor editAs="oneCell">
    <xdr:from>
      <xdr:col>0</xdr:col>
      <xdr:colOff>26458</xdr:colOff>
      <xdr:row>252</xdr:row>
      <xdr:rowOff>86783</xdr:rowOff>
    </xdr:from>
    <xdr:to>
      <xdr:col>0</xdr:col>
      <xdr:colOff>1358458</xdr:colOff>
      <xdr:row>259</xdr:row>
      <xdr:rowOff>62642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85FFC80-BDA4-D94A-B149-95FE85D8F9B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26458" y="40891883"/>
          <a:ext cx="1332000" cy="1242684"/>
        </a:xfrm>
        <a:prstGeom prst="rect">
          <a:avLst/>
        </a:prstGeom>
      </xdr:spPr>
    </xdr:pic>
    <xdr:clientData/>
  </xdr:twoCellAnchor>
  <xdr:twoCellAnchor editAs="oneCell">
    <xdr:from>
      <xdr:col>0</xdr:col>
      <xdr:colOff>70908</xdr:colOff>
      <xdr:row>264</xdr:row>
      <xdr:rowOff>53975</xdr:rowOff>
    </xdr:from>
    <xdr:to>
      <xdr:col>0</xdr:col>
      <xdr:colOff>1402908</xdr:colOff>
      <xdr:row>271</xdr:row>
      <xdr:rowOff>9554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A21C1EA-CDB1-EF48-9B2A-5C78D5365B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70908" y="48069500"/>
          <a:ext cx="1332000" cy="1222404"/>
        </a:xfrm>
        <a:prstGeom prst="rect">
          <a:avLst/>
        </a:prstGeom>
      </xdr:spPr>
    </xdr:pic>
    <xdr:clientData/>
  </xdr:twoCellAnchor>
  <xdr:twoCellAnchor editAs="oneCell">
    <xdr:from>
      <xdr:col>0</xdr:col>
      <xdr:colOff>101600</xdr:colOff>
      <xdr:row>272</xdr:row>
      <xdr:rowOff>102658</xdr:rowOff>
    </xdr:from>
    <xdr:to>
      <xdr:col>0</xdr:col>
      <xdr:colOff>1433600</xdr:colOff>
      <xdr:row>279</xdr:row>
      <xdr:rowOff>54272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81490C4E-ABE5-6E47-89FB-AA346A44904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01600" y="44146258"/>
          <a:ext cx="1332000" cy="1218439"/>
        </a:xfrm>
        <a:prstGeom prst="rect">
          <a:avLst/>
        </a:prstGeom>
      </xdr:spPr>
    </xdr:pic>
    <xdr:clientData/>
  </xdr:twoCellAnchor>
  <xdr:twoCellAnchor editAs="oneCell">
    <xdr:from>
      <xdr:col>0</xdr:col>
      <xdr:colOff>55033</xdr:colOff>
      <xdr:row>283</xdr:row>
      <xdr:rowOff>122767</xdr:rowOff>
    </xdr:from>
    <xdr:to>
      <xdr:col>0</xdr:col>
      <xdr:colOff>1387033</xdr:colOff>
      <xdr:row>290</xdr:row>
      <xdr:rowOff>115207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83F6893-206E-3943-9CB4-46E5B9F4A2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5033" y="45947542"/>
          <a:ext cx="1332000" cy="125926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295</xdr:row>
      <xdr:rowOff>82551</xdr:rowOff>
    </xdr:from>
    <xdr:to>
      <xdr:col>0</xdr:col>
      <xdr:colOff>1446300</xdr:colOff>
      <xdr:row>301</xdr:row>
      <xdr:rowOff>167504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9D872DA3-5AFC-014C-A419-183099EA8EA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114300" y="47850426"/>
          <a:ext cx="1332000" cy="117080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C2276-C6F3-0F46-A324-E8BC5DE9ABE7}">
  <dimension ref="A1:E318"/>
  <sheetViews>
    <sheetView tabSelected="1" zoomScaleNormal="100" zoomScaleSheetLayoutView="100" workbookViewId="0">
      <selection activeCell="C302" sqref="C302"/>
    </sheetView>
  </sheetViews>
  <sheetFormatPr defaultColWidth="11.42578125" defaultRowHeight="14.25"/>
  <cols>
    <col min="1" max="1" width="22.140625" style="60" customWidth="1"/>
    <col min="2" max="2" width="41.42578125" style="60" bestFit="1" customWidth="1"/>
    <col min="3" max="3" width="11" style="60" bestFit="1" customWidth="1"/>
    <col min="4" max="4" width="8.5703125" style="60" bestFit="1" customWidth="1"/>
    <col min="5" max="5" width="2.85546875" style="60" customWidth="1"/>
    <col min="6" max="6" width="7.7109375" style="60" bestFit="1" customWidth="1"/>
    <col min="7" max="16384" width="11.42578125" style="60"/>
  </cols>
  <sheetData>
    <row r="1" spans="1:5">
      <c r="A1" s="68"/>
      <c r="B1" s="69"/>
      <c r="C1" s="69"/>
      <c r="D1" s="69"/>
      <c r="E1" s="70"/>
    </row>
    <row r="2" spans="1:5">
      <c r="A2" s="71"/>
      <c r="B2" s="58" t="s">
        <v>40</v>
      </c>
      <c r="C2" s="59"/>
      <c r="D2" s="58"/>
      <c r="E2" s="72"/>
    </row>
    <row r="3" spans="1:5">
      <c r="A3" s="71"/>
      <c r="B3" s="58" t="s">
        <v>58</v>
      </c>
      <c r="C3" s="58"/>
      <c r="D3" s="58" t="s">
        <v>44</v>
      </c>
      <c r="E3" s="72"/>
    </row>
    <row r="4" spans="1:5">
      <c r="A4" s="71"/>
      <c r="B4" s="58" t="s">
        <v>52</v>
      </c>
      <c r="C4" s="58"/>
      <c r="D4" s="58" t="s">
        <v>46</v>
      </c>
      <c r="E4" s="72"/>
    </row>
    <row r="5" spans="1:5">
      <c r="A5" s="71"/>
      <c r="B5" s="58" t="s">
        <v>54</v>
      </c>
      <c r="C5" s="58"/>
      <c r="D5" s="58" t="s">
        <v>46</v>
      </c>
      <c r="E5" s="72"/>
    </row>
    <row r="6" spans="1:5">
      <c r="A6" s="71"/>
      <c r="B6" s="58" t="s">
        <v>56</v>
      </c>
      <c r="C6" s="78" t="str">
        <f>IFERROR(ROUNDUP(C3/(C4*C5),0),"")</f>
        <v/>
      </c>
      <c r="D6" s="58" t="s">
        <v>48</v>
      </c>
      <c r="E6" s="72"/>
    </row>
    <row r="7" spans="1:5">
      <c r="A7" s="71"/>
      <c r="B7" s="58" t="s">
        <v>42</v>
      </c>
      <c r="C7" s="78" t="str">
        <f>IFERROR(VLOOKUP(C2,鋼材の基準強度!C6:P27,7,FALSE),"")</f>
        <v/>
      </c>
      <c r="D7" s="58" t="s">
        <v>48</v>
      </c>
      <c r="E7" s="72"/>
    </row>
    <row r="8" spans="1:5">
      <c r="A8" s="71"/>
      <c r="B8" s="58" t="s">
        <v>50</v>
      </c>
      <c r="C8" s="79" t="str">
        <f>IFERROR(IF(C7&gt;C6,"○","×"),"")</f>
        <v>×</v>
      </c>
      <c r="D8" s="58"/>
      <c r="E8" s="72"/>
    </row>
    <row r="9" spans="1:5" ht="15" thickBot="1">
      <c r="A9" s="73"/>
      <c r="B9" s="74"/>
      <c r="C9" s="75"/>
      <c r="D9" s="74"/>
      <c r="E9" s="76"/>
    </row>
    <row r="10" spans="1:5">
      <c r="A10" s="71"/>
      <c r="B10" s="62"/>
      <c r="C10" s="62"/>
      <c r="D10" s="62"/>
      <c r="E10" s="72"/>
    </row>
    <row r="11" spans="1:5">
      <c r="A11" s="71"/>
      <c r="B11" s="58" t="s">
        <v>40</v>
      </c>
      <c r="C11" s="59"/>
      <c r="D11" s="58"/>
      <c r="E11" s="72"/>
    </row>
    <row r="12" spans="1:5">
      <c r="A12" s="71"/>
      <c r="B12" s="58" t="s">
        <v>58</v>
      </c>
      <c r="C12" s="58"/>
      <c r="D12" s="58" t="s">
        <v>44</v>
      </c>
      <c r="E12" s="72"/>
    </row>
    <row r="13" spans="1:5">
      <c r="A13" s="71"/>
      <c r="B13" s="58" t="s">
        <v>59</v>
      </c>
      <c r="C13" s="58"/>
      <c r="D13" s="58" t="s">
        <v>46</v>
      </c>
      <c r="E13" s="72"/>
    </row>
    <row r="14" spans="1:5">
      <c r="A14" s="71"/>
      <c r="B14" s="58" t="s">
        <v>60</v>
      </c>
      <c r="C14" s="58"/>
      <c r="D14" s="58" t="s">
        <v>46</v>
      </c>
      <c r="E14" s="72"/>
    </row>
    <row r="15" spans="1:5">
      <c r="A15" s="71"/>
      <c r="B15" s="58" t="s">
        <v>54</v>
      </c>
      <c r="C15" s="58"/>
      <c r="D15" s="58" t="s">
        <v>46</v>
      </c>
      <c r="E15" s="72"/>
    </row>
    <row r="16" spans="1:5">
      <c r="A16" s="71"/>
      <c r="B16" s="58" t="s">
        <v>56</v>
      </c>
      <c r="C16" s="78" t="str">
        <f>IFERROR(ROUNDUP(C12/((C13+C14)*C15),0),"")</f>
        <v/>
      </c>
      <c r="D16" s="58" t="s">
        <v>48</v>
      </c>
      <c r="E16" s="72"/>
    </row>
    <row r="17" spans="1:5">
      <c r="A17" s="71"/>
      <c r="B17" s="58" t="s">
        <v>42</v>
      </c>
      <c r="C17" s="78" t="str">
        <f>IFERROR(VLOOKUP(C11,鋼材の基準強度!C6:P27,7,FALSE),"")</f>
        <v/>
      </c>
      <c r="D17" s="58" t="s">
        <v>48</v>
      </c>
      <c r="E17" s="72"/>
    </row>
    <row r="18" spans="1:5">
      <c r="A18" s="71"/>
      <c r="B18" s="58" t="s">
        <v>50</v>
      </c>
      <c r="C18" s="79" t="str">
        <f>IFERROR(IF(C17&gt;C16,"○","×"),"")</f>
        <v>×</v>
      </c>
      <c r="D18" s="58"/>
      <c r="E18" s="72"/>
    </row>
    <row r="19" spans="1:5" ht="15" thickBot="1">
      <c r="A19" s="71"/>
      <c r="B19" s="62"/>
      <c r="C19" s="63"/>
      <c r="D19" s="62"/>
      <c r="E19" s="72"/>
    </row>
    <row r="20" spans="1:5">
      <c r="A20" s="68"/>
      <c r="B20" s="69"/>
      <c r="C20" s="69"/>
      <c r="D20" s="69"/>
      <c r="E20" s="70"/>
    </row>
    <row r="21" spans="1:5">
      <c r="A21" s="71"/>
      <c r="B21" s="58" t="s">
        <v>39</v>
      </c>
      <c r="C21" s="59"/>
      <c r="D21" s="64"/>
      <c r="E21" s="72"/>
    </row>
    <row r="22" spans="1:5">
      <c r="A22" s="71"/>
      <c r="B22" s="65" t="s">
        <v>57</v>
      </c>
      <c r="C22" s="66"/>
      <c r="D22" s="66" t="s">
        <v>43</v>
      </c>
      <c r="E22" s="72"/>
    </row>
    <row r="23" spans="1:5">
      <c r="A23" s="71"/>
      <c r="B23" s="65" t="s">
        <v>51</v>
      </c>
      <c r="C23" s="66"/>
      <c r="D23" s="66" t="s">
        <v>45</v>
      </c>
      <c r="E23" s="72"/>
    </row>
    <row r="24" spans="1:5">
      <c r="A24" s="71"/>
      <c r="B24" s="65" t="s">
        <v>53</v>
      </c>
      <c r="C24" s="66"/>
      <c r="D24" s="66" t="s">
        <v>45</v>
      </c>
      <c r="E24" s="72"/>
    </row>
    <row r="25" spans="1:5">
      <c r="A25" s="71"/>
      <c r="B25" s="65" t="s">
        <v>55</v>
      </c>
      <c r="C25" s="78" t="str">
        <f>IFERROR(ROUNDUP(C22/(C23*C24),0),"")</f>
        <v/>
      </c>
      <c r="D25" s="66" t="s">
        <v>47</v>
      </c>
      <c r="E25" s="72"/>
    </row>
    <row r="26" spans="1:5">
      <c r="A26" s="71"/>
      <c r="B26" s="65" t="s">
        <v>41</v>
      </c>
      <c r="C26" s="80" t="str">
        <f>IFERROR(VLOOKUP(C21,鋼材の基準強度!C6:P27,7,FALSE),"")</f>
        <v/>
      </c>
      <c r="D26" s="66" t="s">
        <v>47</v>
      </c>
      <c r="E26" s="72"/>
    </row>
    <row r="27" spans="1:5">
      <c r="A27" s="71"/>
      <c r="B27" s="65" t="s">
        <v>49</v>
      </c>
      <c r="C27" s="79" t="str">
        <f>IFERROR(IF(C26&gt;C25,"○","×"),"")</f>
        <v>×</v>
      </c>
      <c r="D27" s="66"/>
      <c r="E27" s="72"/>
    </row>
    <row r="28" spans="1:5" ht="15" thickBot="1">
      <c r="A28" s="73"/>
      <c r="B28" s="74"/>
      <c r="C28" s="75"/>
      <c r="D28" s="74"/>
      <c r="E28" s="76"/>
    </row>
    <row r="29" spans="1:5">
      <c r="A29" s="71"/>
      <c r="B29" s="62"/>
      <c r="C29" s="62"/>
      <c r="D29" s="62"/>
      <c r="E29" s="72"/>
    </row>
    <row r="30" spans="1:5">
      <c r="A30" s="71"/>
      <c r="B30" s="58" t="s">
        <v>39</v>
      </c>
      <c r="C30" s="59"/>
      <c r="D30" s="64"/>
      <c r="E30" s="72"/>
    </row>
    <row r="31" spans="1:5">
      <c r="A31" s="71"/>
      <c r="B31" s="65" t="s">
        <v>61</v>
      </c>
      <c r="C31" s="66"/>
      <c r="D31" s="66" t="s">
        <v>62</v>
      </c>
      <c r="E31" s="72"/>
    </row>
    <row r="32" spans="1:5">
      <c r="A32" s="71"/>
      <c r="B32" s="65" t="s">
        <v>51</v>
      </c>
      <c r="C32" s="66"/>
      <c r="D32" s="66" t="s">
        <v>45</v>
      </c>
      <c r="E32" s="72"/>
    </row>
    <row r="33" spans="1:5">
      <c r="A33" s="71"/>
      <c r="B33" s="65" t="s">
        <v>53</v>
      </c>
      <c r="C33" s="66"/>
      <c r="D33" s="66" t="s">
        <v>45</v>
      </c>
      <c r="E33" s="72"/>
    </row>
    <row r="34" spans="1:5">
      <c r="A34" s="71"/>
      <c r="B34" s="65" t="s">
        <v>63</v>
      </c>
      <c r="C34" s="80" t="str">
        <f>IFERROR(ROUNDUP((6*(1000*C31))/(C33*C32^2),0),"")</f>
        <v/>
      </c>
      <c r="D34" s="66" t="s">
        <v>47</v>
      </c>
      <c r="E34" s="72"/>
    </row>
    <row r="35" spans="1:5">
      <c r="A35" s="71"/>
      <c r="B35" s="65" t="s">
        <v>41</v>
      </c>
      <c r="C35" s="80" t="str">
        <f>IFERROR(VLOOKUP(C30,鋼材の基準強度!C6:P27,7,FALSE),"")</f>
        <v/>
      </c>
      <c r="D35" s="66" t="s">
        <v>47</v>
      </c>
      <c r="E35" s="72"/>
    </row>
    <row r="36" spans="1:5">
      <c r="A36" s="71"/>
      <c r="B36" s="65" t="s">
        <v>49</v>
      </c>
      <c r="C36" s="79" t="str">
        <f>IFERROR(IF(C35&gt;C34,"○","×"),"")</f>
        <v>×</v>
      </c>
      <c r="D36" s="66"/>
      <c r="E36" s="72"/>
    </row>
    <row r="37" spans="1:5" ht="15" thickBot="1">
      <c r="A37" s="71"/>
      <c r="B37" s="62"/>
      <c r="C37" s="63"/>
      <c r="D37" s="62"/>
      <c r="E37" s="72"/>
    </row>
    <row r="38" spans="1:5">
      <c r="A38" s="68"/>
      <c r="B38" s="69"/>
      <c r="C38" s="69"/>
      <c r="D38" s="69"/>
      <c r="E38" s="70"/>
    </row>
    <row r="39" spans="1:5">
      <c r="A39" s="71"/>
      <c r="B39" s="58" t="s">
        <v>39</v>
      </c>
      <c r="C39" s="59"/>
      <c r="D39" s="58"/>
      <c r="E39" s="72"/>
    </row>
    <row r="40" spans="1:5">
      <c r="A40" s="71"/>
      <c r="B40" s="58" t="s">
        <v>57</v>
      </c>
      <c r="C40" s="58"/>
      <c r="D40" s="58" t="s">
        <v>44</v>
      </c>
      <c r="E40" s="72"/>
    </row>
    <row r="41" spans="1:5">
      <c r="A41" s="71"/>
      <c r="B41" s="58" t="s">
        <v>51</v>
      </c>
      <c r="C41" s="58"/>
      <c r="D41" s="58" t="s">
        <v>45</v>
      </c>
      <c r="E41" s="72"/>
    </row>
    <row r="42" spans="1:5">
      <c r="A42" s="71"/>
      <c r="B42" s="58" t="s">
        <v>53</v>
      </c>
      <c r="C42" s="58"/>
      <c r="D42" s="58" t="s">
        <v>45</v>
      </c>
      <c r="E42" s="72"/>
    </row>
    <row r="43" spans="1:5">
      <c r="A43" s="71"/>
      <c r="B43" s="58" t="s">
        <v>64</v>
      </c>
      <c r="C43" s="58"/>
      <c r="D43" s="58" t="s">
        <v>45</v>
      </c>
      <c r="E43" s="72"/>
    </row>
    <row r="44" spans="1:5">
      <c r="A44" s="71"/>
      <c r="B44" s="58" t="s">
        <v>63</v>
      </c>
      <c r="C44" s="78" t="str">
        <f>IFERROR(ROUNDUP((6*C40*C43)/(C42*C41^2),0),"")</f>
        <v/>
      </c>
      <c r="D44" s="58" t="s">
        <v>47</v>
      </c>
      <c r="E44" s="72"/>
    </row>
    <row r="45" spans="1:5">
      <c r="A45" s="71"/>
      <c r="B45" s="58" t="s">
        <v>41</v>
      </c>
      <c r="C45" s="78" t="str">
        <f>IFERROR(VLOOKUP(C39,鋼材の基準強度!C6:P27,7,FALSE),"")</f>
        <v/>
      </c>
      <c r="D45" s="58" t="s">
        <v>47</v>
      </c>
      <c r="E45" s="72"/>
    </row>
    <row r="46" spans="1:5">
      <c r="A46" s="71"/>
      <c r="B46" s="58" t="s">
        <v>49</v>
      </c>
      <c r="C46" s="79" t="str">
        <f>IFERROR(IF(C45&gt;C44,"○","×"),"")</f>
        <v>×</v>
      </c>
      <c r="D46" s="58"/>
      <c r="E46" s="72"/>
    </row>
    <row r="47" spans="1:5">
      <c r="A47" s="71"/>
      <c r="B47" s="58" t="s">
        <v>65</v>
      </c>
      <c r="C47" s="78" t="str">
        <f>IFERROR(ROUNDUP(C40/(C42*C41),0),"")</f>
        <v/>
      </c>
      <c r="D47" s="58" t="s">
        <v>47</v>
      </c>
      <c r="E47" s="72"/>
    </row>
    <row r="48" spans="1:5">
      <c r="A48" s="71"/>
      <c r="B48" s="58" t="s">
        <v>41</v>
      </c>
      <c r="C48" s="78" t="str">
        <f>IFERROR(VLOOKUP(C39,鋼材の基準強度!C6:P27,8,FALSE),"")</f>
        <v/>
      </c>
      <c r="D48" s="58" t="s">
        <v>47</v>
      </c>
      <c r="E48" s="72"/>
    </row>
    <row r="49" spans="1:5">
      <c r="A49" s="71"/>
      <c r="B49" s="58" t="s">
        <v>49</v>
      </c>
      <c r="C49" s="79" t="str">
        <f>IFERROR(IF(C48&gt;C47,"○","×"),"")</f>
        <v>×</v>
      </c>
      <c r="D49" s="58"/>
      <c r="E49" s="72"/>
    </row>
    <row r="50" spans="1:5" ht="15" thickBot="1">
      <c r="A50" s="73"/>
      <c r="B50" s="74"/>
      <c r="C50" s="74"/>
      <c r="D50" s="74"/>
      <c r="E50" s="76"/>
    </row>
    <row r="51" spans="1:5">
      <c r="A51" s="71"/>
      <c r="B51" s="62"/>
      <c r="C51" s="62"/>
      <c r="D51" s="62"/>
      <c r="E51" s="72"/>
    </row>
    <row r="52" spans="1:5">
      <c r="A52" s="71"/>
      <c r="B52" s="58" t="s">
        <v>39</v>
      </c>
      <c r="C52" s="59"/>
      <c r="D52" s="64"/>
      <c r="E52" s="72"/>
    </row>
    <row r="53" spans="1:5">
      <c r="A53" s="71"/>
      <c r="B53" s="65" t="s">
        <v>61</v>
      </c>
      <c r="C53" s="66"/>
      <c r="D53" s="66" t="s">
        <v>62</v>
      </c>
      <c r="E53" s="72"/>
    </row>
    <row r="54" spans="1:5">
      <c r="A54" s="71"/>
      <c r="B54" s="65" t="s">
        <v>51</v>
      </c>
      <c r="C54" s="66"/>
      <c r="D54" s="66" t="s">
        <v>45</v>
      </c>
      <c r="E54" s="72"/>
    </row>
    <row r="55" spans="1:5">
      <c r="A55" s="71"/>
      <c r="B55" s="65" t="s">
        <v>53</v>
      </c>
      <c r="C55" s="66"/>
      <c r="D55" s="66" t="s">
        <v>45</v>
      </c>
      <c r="E55" s="72"/>
    </row>
    <row r="56" spans="1:5">
      <c r="A56" s="71"/>
      <c r="B56" s="65" t="s">
        <v>63</v>
      </c>
      <c r="C56" s="80" t="str">
        <f>IFERROR(ROUNDUP((C53*1000)/(C55*C54),0),"")</f>
        <v/>
      </c>
      <c r="D56" s="66" t="s">
        <v>47</v>
      </c>
      <c r="E56" s="72"/>
    </row>
    <row r="57" spans="1:5">
      <c r="A57" s="71"/>
      <c r="B57" s="65" t="s">
        <v>41</v>
      </c>
      <c r="C57" s="80" t="str">
        <f>IFERROR(VLOOKUP(C52,鋼材の基準強度!C6:P27,7,FALSE),"")</f>
        <v/>
      </c>
      <c r="D57" s="66" t="s">
        <v>47</v>
      </c>
      <c r="E57" s="72"/>
    </row>
    <row r="58" spans="1:5">
      <c r="A58" s="71"/>
      <c r="B58" s="65" t="s">
        <v>49</v>
      </c>
      <c r="C58" s="79" t="str">
        <f>IFERROR(IF(C57&gt;C56,"○","×"),"")</f>
        <v>×</v>
      </c>
      <c r="D58" s="66"/>
      <c r="E58" s="72"/>
    </row>
    <row r="59" spans="1:5" ht="15" thickBot="1">
      <c r="A59" s="71"/>
      <c r="B59" s="62"/>
      <c r="C59" s="62"/>
      <c r="D59" s="62"/>
      <c r="E59" s="72"/>
    </row>
    <row r="60" spans="1:5">
      <c r="A60" s="68"/>
      <c r="B60" s="69"/>
      <c r="C60" s="69"/>
      <c r="D60" s="69"/>
      <c r="E60" s="70"/>
    </row>
    <row r="61" spans="1:5">
      <c r="A61" s="71"/>
      <c r="B61" s="58" t="s">
        <v>39</v>
      </c>
      <c r="C61" s="59"/>
      <c r="D61" s="64"/>
      <c r="E61" s="72"/>
    </row>
    <row r="62" spans="1:5">
      <c r="A62" s="71"/>
      <c r="B62" s="65" t="s">
        <v>61</v>
      </c>
      <c r="C62" s="66"/>
      <c r="D62" s="66" t="s">
        <v>62</v>
      </c>
      <c r="E62" s="72"/>
    </row>
    <row r="63" spans="1:5">
      <c r="A63" s="71"/>
      <c r="B63" s="65" t="s">
        <v>51</v>
      </c>
      <c r="C63" s="66"/>
      <c r="D63" s="66" t="s">
        <v>45</v>
      </c>
      <c r="E63" s="72"/>
    </row>
    <row r="64" spans="1:5">
      <c r="A64" s="71"/>
      <c r="B64" s="65" t="s">
        <v>66</v>
      </c>
      <c r="C64" s="66"/>
      <c r="D64" s="66" t="s">
        <v>45</v>
      </c>
      <c r="E64" s="72"/>
    </row>
    <row r="65" spans="1:5">
      <c r="A65" s="71"/>
      <c r="B65" s="65" t="s">
        <v>53</v>
      </c>
      <c r="C65" s="66"/>
      <c r="D65" s="66" t="s">
        <v>45</v>
      </c>
      <c r="E65" s="72"/>
    </row>
    <row r="66" spans="1:5">
      <c r="A66" s="71"/>
      <c r="B66" s="65" t="s">
        <v>63</v>
      </c>
      <c r="C66" s="80" t="str">
        <f>IFERROR(ROUNDUP((3*C64*(C62*1000))/(C65*C63*(3*C64^2-6*C64*C63+4*C63^2)),0),"")</f>
        <v/>
      </c>
      <c r="D66" s="66" t="s">
        <v>47</v>
      </c>
      <c r="E66" s="72"/>
    </row>
    <row r="67" spans="1:5">
      <c r="A67" s="71"/>
      <c r="B67" s="65" t="s">
        <v>41</v>
      </c>
      <c r="C67" s="80" t="str">
        <f>IFERROR(VLOOKUP(C61,鋼材の基準強度!C6:P27,7,FALSE),"")</f>
        <v/>
      </c>
      <c r="D67" s="66" t="s">
        <v>47</v>
      </c>
      <c r="E67" s="72"/>
    </row>
    <row r="68" spans="1:5">
      <c r="A68" s="71"/>
      <c r="B68" s="65" t="s">
        <v>49</v>
      </c>
      <c r="C68" s="79" t="str">
        <f>IFERROR(IF(C67&gt;C66,"○","×"),"")</f>
        <v>×</v>
      </c>
      <c r="D68" s="66"/>
      <c r="E68" s="72"/>
    </row>
    <row r="69" spans="1:5" ht="15" thickBot="1">
      <c r="A69" s="73"/>
      <c r="B69" s="74"/>
      <c r="C69" s="74"/>
      <c r="D69" s="74"/>
      <c r="E69" s="76"/>
    </row>
    <row r="70" spans="1:5">
      <c r="A70" s="71"/>
      <c r="B70" s="62"/>
      <c r="C70" s="62"/>
      <c r="D70" s="62"/>
      <c r="E70" s="72"/>
    </row>
    <row r="71" spans="1:5">
      <c r="A71" s="71"/>
      <c r="B71" s="58" t="s">
        <v>39</v>
      </c>
      <c r="C71" s="59"/>
      <c r="D71" s="64"/>
      <c r="E71" s="72"/>
    </row>
    <row r="72" spans="1:5">
      <c r="A72" s="71"/>
      <c r="B72" s="65" t="s">
        <v>57</v>
      </c>
      <c r="C72" s="66"/>
      <c r="D72" s="66" t="s">
        <v>43</v>
      </c>
      <c r="E72" s="72"/>
    </row>
    <row r="73" spans="1:5">
      <c r="A73" s="71"/>
      <c r="B73" s="65" t="s">
        <v>67</v>
      </c>
      <c r="C73" s="66"/>
      <c r="D73" s="66" t="s">
        <v>45</v>
      </c>
      <c r="E73" s="72"/>
    </row>
    <row r="74" spans="1:5">
      <c r="A74" s="71"/>
      <c r="B74" s="65" t="s">
        <v>68</v>
      </c>
      <c r="C74" s="66"/>
      <c r="D74" s="66" t="s">
        <v>45</v>
      </c>
      <c r="E74" s="72"/>
    </row>
    <row r="75" spans="1:5">
      <c r="A75" s="71"/>
      <c r="B75" s="65" t="s">
        <v>53</v>
      </c>
      <c r="C75" s="66"/>
      <c r="D75" s="66" t="s">
        <v>45</v>
      </c>
      <c r="E75" s="72"/>
    </row>
    <row r="76" spans="1:5">
      <c r="A76" s="71"/>
      <c r="B76" s="65" t="s">
        <v>55</v>
      </c>
      <c r="C76" s="78" t="str">
        <f>IFERROR(ROUNDUP(C72/((C73+C74)*C75),0),"")</f>
        <v/>
      </c>
      <c r="D76" s="66" t="s">
        <v>47</v>
      </c>
      <c r="E76" s="72"/>
    </row>
    <row r="77" spans="1:5">
      <c r="A77" s="71"/>
      <c r="B77" s="65" t="s">
        <v>41</v>
      </c>
      <c r="C77" s="80" t="str">
        <f>IFERROR(VLOOKUP(C71,鋼材の基準強度!C6:P27,7,FALSE),"")</f>
        <v/>
      </c>
      <c r="D77" s="66" t="s">
        <v>47</v>
      </c>
      <c r="E77" s="72"/>
    </row>
    <row r="78" spans="1:5">
      <c r="A78" s="71"/>
      <c r="B78" s="65" t="s">
        <v>49</v>
      </c>
      <c r="C78" s="79" t="str">
        <f>IFERROR(IF(C77&gt;C76,"○","×"),"")</f>
        <v>×</v>
      </c>
      <c r="D78" s="66"/>
      <c r="E78" s="72"/>
    </row>
    <row r="79" spans="1:5" ht="15" thickBot="1">
      <c r="A79" s="71"/>
      <c r="B79" s="62"/>
      <c r="C79" s="62"/>
      <c r="D79" s="62"/>
      <c r="E79" s="72"/>
    </row>
    <row r="80" spans="1:5">
      <c r="A80" s="68"/>
      <c r="B80" s="69"/>
      <c r="C80" s="69"/>
      <c r="D80" s="69"/>
      <c r="E80" s="70"/>
    </row>
    <row r="81" spans="1:5">
      <c r="A81" s="71"/>
      <c r="B81" s="58" t="s">
        <v>39</v>
      </c>
      <c r="C81" s="59"/>
      <c r="D81" s="64"/>
      <c r="E81" s="72"/>
    </row>
    <row r="82" spans="1:5">
      <c r="A82" s="71"/>
      <c r="B82" s="65" t="s">
        <v>61</v>
      </c>
      <c r="C82" s="66"/>
      <c r="D82" s="66" t="s">
        <v>62</v>
      </c>
      <c r="E82" s="72"/>
    </row>
    <row r="83" spans="1:5">
      <c r="A83" s="71"/>
      <c r="B83" s="65" t="s">
        <v>51</v>
      </c>
      <c r="C83" s="66"/>
      <c r="D83" s="66" t="s">
        <v>45</v>
      </c>
      <c r="E83" s="72"/>
    </row>
    <row r="84" spans="1:5">
      <c r="A84" s="71"/>
      <c r="B84" s="65" t="s">
        <v>66</v>
      </c>
      <c r="C84" s="66"/>
      <c r="D84" s="66" t="s">
        <v>45</v>
      </c>
      <c r="E84" s="72"/>
    </row>
    <row r="85" spans="1:5">
      <c r="A85" s="71"/>
      <c r="B85" s="65" t="s">
        <v>53</v>
      </c>
      <c r="C85" s="66"/>
      <c r="D85" s="66" t="s">
        <v>45</v>
      </c>
      <c r="E85" s="72"/>
    </row>
    <row r="86" spans="1:5">
      <c r="A86" s="71"/>
      <c r="B86" s="65" t="s">
        <v>63</v>
      </c>
      <c r="C86" s="80" t="str">
        <f>IFERROR(ROUNDUP((3*C84*C82*1000)/(C85*C83*(3*C84^2-6*C84*C83+4*C83^2)),0),"")</f>
        <v/>
      </c>
      <c r="D86" s="66" t="s">
        <v>47</v>
      </c>
      <c r="E86" s="72"/>
    </row>
    <row r="87" spans="1:5">
      <c r="A87" s="71"/>
      <c r="B87" s="65" t="s">
        <v>41</v>
      </c>
      <c r="C87" s="80" t="str">
        <f>IFERROR(VLOOKUP(C81,鋼材の基準強度!C6:P27,7,FALSE),"")</f>
        <v/>
      </c>
      <c r="D87" s="66" t="s">
        <v>47</v>
      </c>
      <c r="E87" s="72"/>
    </row>
    <row r="88" spans="1:5">
      <c r="A88" s="71"/>
      <c r="B88" s="65" t="s">
        <v>49</v>
      </c>
      <c r="C88" s="79" t="str">
        <f>IFERROR(IF(C87&gt;C86,"○","×"),"")</f>
        <v>×</v>
      </c>
      <c r="D88" s="66"/>
      <c r="E88" s="72"/>
    </row>
    <row r="89" spans="1:5" ht="15" thickBot="1">
      <c r="A89" s="73"/>
      <c r="B89" s="74"/>
      <c r="C89" s="74"/>
      <c r="D89" s="74"/>
      <c r="E89" s="76"/>
    </row>
    <row r="90" spans="1:5">
      <c r="A90" s="71"/>
      <c r="B90" s="62"/>
      <c r="C90" s="62"/>
      <c r="D90" s="62"/>
      <c r="E90" s="72"/>
    </row>
    <row r="91" spans="1:5">
      <c r="A91" s="71"/>
      <c r="B91" s="58" t="s">
        <v>39</v>
      </c>
      <c r="C91" s="59"/>
      <c r="D91" s="58"/>
      <c r="E91" s="72"/>
    </row>
    <row r="92" spans="1:5">
      <c r="A92" s="71"/>
      <c r="B92" s="58" t="s">
        <v>57</v>
      </c>
      <c r="C92" s="58"/>
      <c r="D92" s="58" t="s">
        <v>44</v>
      </c>
      <c r="E92" s="72"/>
    </row>
    <row r="93" spans="1:5">
      <c r="A93" s="71"/>
      <c r="B93" s="58" t="s">
        <v>51</v>
      </c>
      <c r="C93" s="58"/>
      <c r="D93" s="58" t="s">
        <v>45</v>
      </c>
      <c r="E93" s="72"/>
    </row>
    <row r="94" spans="1:5">
      <c r="A94" s="71"/>
      <c r="B94" s="58" t="s">
        <v>66</v>
      </c>
      <c r="C94" s="58"/>
      <c r="D94" s="58" t="s">
        <v>45</v>
      </c>
      <c r="E94" s="72"/>
    </row>
    <row r="95" spans="1:5">
      <c r="A95" s="71"/>
      <c r="B95" s="58" t="s">
        <v>53</v>
      </c>
      <c r="C95" s="58"/>
      <c r="D95" s="58" t="s">
        <v>45</v>
      </c>
      <c r="E95" s="72"/>
    </row>
    <row r="96" spans="1:5">
      <c r="A96" s="71"/>
      <c r="B96" s="58" t="s">
        <v>64</v>
      </c>
      <c r="C96" s="58"/>
      <c r="D96" s="58" t="s">
        <v>45</v>
      </c>
      <c r="E96" s="72"/>
    </row>
    <row r="97" spans="1:5">
      <c r="A97" s="71"/>
      <c r="B97" s="58" t="s">
        <v>63</v>
      </c>
      <c r="C97" s="78" t="str">
        <f>IFERROR(ROUNDUP((3*C94*C92*C96)/(C95*C93*(3*C94^2-6*C94*C93+4*C93^2)),0),"")</f>
        <v/>
      </c>
      <c r="D97" s="58" t="s">
        <v>47</v>
      </c>
      <c r="E97" s="72"/>
    </row>
    <row r="98" spans="1:5">
      <c r="A98" s="71"/>
      <c r="B98" s="58" t="s">
        <v>41</v>
      </c>
      <c r="C98" s="78" t="str">
        <f>IFERROR(VLOOKUP(C91,鋼材の基準強度!C6:P27,7,FALSE),"")</f>
        <v/>
      </c>
      <c r="D98" s="58" t="s">
        <v>47</v>
      </c>
      <c r="E98" s="72"/>
    </row>
    <row r="99" spans="1:5">
      <c r="A99" s="71"/>
      <c r="B99" s="58" t="s">
        <v>49</v>
      </c>
      <c r="C99" s="79" t="str">
        <f>IFERROR(IF(C98&gt;C97,"○","×"),"")</f>
        <v>×</v>
      </c>
      <c r="D99" s="58"/>
      <c r="E99" s="72"/>
    </row>
    <row r="100" spans="1:5">
      <c r="A100" s="71"/>
      <c r="B100" s="58" t="s">
        <v>65</v>
      </c>
      <c r="C100" s="78" t="str">
        <f>IFERROR(ROUNDUP(C92/(2*C95*C93),0),"")</f>
        <v/>
      </c>
      <c r="D100" s="58" t="s">
        <v>47</v>
      </c>
      <c r="E100" s="72"/>
    </row>
    <row r="101" spans="1:5">
      <c r="A101" s="71"/>
      <c r="B101" s="58" t="s">
        <v>41</v>
      </c>
      <c r="C101" s="78" t="str">
        <f>IFERROR(VLOOKUP(C91,鋼材の基準強度!C6:P27,8,FALSE),"")</f>
        <v/>
      </c>
      <c r="D101" s="58" t="s">
        <v>47</v>
      </c>
      <c r="E101" s="72"/>
    </row>
    <row r="102" spans="1:5" ht="15" thickBot="1">
      <c r="A102" s="71"/>
      <c r="B102" s="77" t="s">
        <v>49</v>
      </c>
      <c r="C102" s="81" t="str">
        <f>IFERROR(IF(C101&gt;C100,"○","×"),"")</f>
        <v>×</v>
      </c>
      <c r="D102" s="77"/>
      <c r="E102" s="72"/>
    </row>
    <row r="103" spans="1:5">
      <c r="A103" s="68"/>
      <c r="B103" s="69"/>
      <c r="C103" s="69"/>
      <c r="D103" s="69"/>
      <c r="E103" s="70"/>
    </row>
    <row r="104" spans="1:5">
      <c r="A104" s="71"/>
      <c r="B104" s="62"/>
      <c r="C104" s="62"/>
      <c r="D104" s="62"/>
      <c r="E104" s="72"/>
    </row>
    <row r="105" spans="1:5">
      <c r="A105" s="71"/>
      <c r="B105" s="58" t="s">
        <v>39</v>
      </c>
      <c r="C105" s="59"/>
      <c r="D105" s="64"/>
      <c r="E105" s="72"/>
    </row>
    <row r="106" spans="1:5">
      <c r="A106" s="71"/>
      <c r="B106" s="65" t="s">
        <v>57</v>
      </c>
      <c r="C106" s="66"/>
      <c r="D106" s="66" t="s">
        <v>43</v>
      </c>
      <c r="E106" s="72"/>
    </row>
    <row r="107" spans="1:5">
      <c r="A107" s="71"/>
      <c r="B107" s="65" t="s">
        <v>69</v>
      </c>
      <c r="C107" s="66"/>
      <c r="D107" s="66" t="s">
        <v>45</v>
      </c>
      <c r="E107" s="72"/>
    </row>
    <row r="108" spans="1:5">
      <c r="A108" s="71"/>
      <c r="B108" s="65" t="s">
        <v>53</v>
      </c>
      <c r="C108" s="66"/>
      <c r="D108" s="66" t="s">
        <v>45</v>
      </c>
      <c r="E108" s="72"/>
    </row>
    <row r="109" spans="1:5">
      <c r="A109" s="71"/>
      <c r="B109" s="65" t="s">
        <v>55</v>
      </c>
      <c r="C109" s="78" t="str">
        <f>IFERROR(ROUNDUP((0.707*C106)/(C107*C108),0),"")</f>
        <v/>
      </c>
      <c r="D109" s="66" t="s">
        <v>47</v>
      </c>
      <c r="E109" s="72"/>
    </row>
    <row r="110" spans="1:5">
      <c r="A110" s="71"/>
      <c r="B110" s="65" t="s">
        <v>41</v>
      </c>
      <c r="C110" s="80" t="str">
        <f>IFERROR(VLOOKUP(C105,鋼材の基準強度!C6:P27,9,FALSE),"")</f>
        <v/>
      </c>
      <c r="D110" s="66" t="s">
        <v>47</v>
      </c>
      <c r="E110" s="72"/>
    </row>
    <row r="111" spans="1:5">
      <c r="A111" s="71"/>
      <c r="B111" s="65" t="s">
        <v>49</v>
      </c>
      <c r="C111" s="79" t="str">
        <f>IFERROR(IF(C110&gt;C109,"○","×"),"")</f>
        <v>×</v>
      </c>
      <c r="D111" s="66"/>
      <c r="E111" s="72"/>
    </row>
    <row r="112" spans="1:5" ht="15" thickBot="1">
      <c r="A112" s="73"/>
      <c r="B112" s="74"/>
      <c r="C112" s="74"/>
      <c r="D112" s="74"/>
      <c r="E112" s="76"/>
    </row>
    <row r="113" spans="1:5">
      <c r="A113" s="71"/>
      <c r="B113" s="62"/>
      <c r="C113" s="62"/>
      <c r="D113" s="62"/>
      <c r="E113" s="72"/>
    </row>
    <row r="114" spans="1:5">
      <c r="A114" s="71"/>
      <c r="B114" s="58" t="s">
        <v>39</v>
      </c>
      <c r="C114" s="59"/>
      <c r="D114" s="64"/>
      <c r="E114" s="72"/>
    </row>
    <row r="115" spans="1:5">
      <c r="A115" s="71"/>
      <c r="B115" s="65" t="s">
        <v>57</v>
      </c>
      <c r="C115" s="66"/>
      <c r="D115" s="66" t="s">
        <v>43</v>
      </c>
      <c r="E115" s="72"/>
    </row>
    <row r="116" spans="1:5">
      <c r="A116" s="71"/>
      <c r="B116" s="65" t="s">
        <v>71</v>
      </c>
      <c r="C116" s="66"/>
      <c r="D116" s="66" t="s">
        <v>45</v>
      </c>
      <c r="E116" s="72"/>
    </row>
    <row r="117" spans="1:5">
      <c r="A117" s="71"/>
      <c r="B117" s="65" t="s">
        <v>72</v>
      </c>
      <c r="C117" s="66"/>
      <c r="D117" s="66" t="s">
        <v>45</v>
      </c>
      <c r="E117" s="72"/>
    </row>
    <row r="118" spans="1:5">
      <c r="A118" s="71"/>
      <c r="B118" s="65" t="s">
        <v>53</v>
      </c>
      <c r="C118" s="66"/>
      <c r="D118" s="66" t="s">
        <v>45</v>
      </c>
      <c r="E118" s="72"/>
    </row>
    <row r="119" spans="1:5">
      <c r="A119" s="71"/>
      <c r="B119" s="65" t="s">
        <v>55</v>
      </c>
      <c r="C119" s="78" t="str">
        <f>IFERROR(ROUNDUP((1.414*C115)/((C116+C117)*C118),0),"")</f>
        <v/>
      </c>
      <c r="D119" s="66" t="s">
        <v>47</v>
      </c>
      <c r="E119" s="72"/>
    </row>
    <row r="120" spans="1:5">
      <c r="A120" s="71"/>
      <c r="B120" s="65" t="s">
        <v>41</v>
      </c>
      <c r="C120" s="80" t="str">
        <f>IFERROR(VLOOKUP(C114,鋼材の基準強度!C6:P27,9,FALSE),"")</f>
        <v/>
      </c>
      <c r="D120" s="66" t="s">
        <v>47</v>
      </c>
      <c r="E120" s="72"/>
    </row>
    <row r="121" spans="1:5">
      <c r="A121" s="71"/>
      <c r="B121" s="65" t="s">
        <v>49</v>
      </c>
      <c r="C121" s="79" t="str">
        <f>IFERROR(IF(C120&gt;C119,"○","×"),"")</f>
        <v>×</v>
      </c>
      <c r="D121" s="66"/>
      <c r="E121" s="72"/>
    </row>
    <row r="122" spans="1:5" ht="15" thickBot="1">
      <c r="A122" s="71"/>
      <c r="B122" s="62"/>
      <c r="C122" s="62"/>
      <c r="D122" s="62"/>
      <c r="E122" s="72"/>
    </row>
    <row r="123" spans="1:5">
      <c r="A123" s="68"/>
      <c r="B123" s="69"/>
      <c r="C123" s="69"/>
      <c r="D123" s="69"/>
      <c r="E123" s="70"/>
    </row>
    <row r="124" spans="1:5">
      <c r="A124" s="71"/>
      <c r="B124" s="58" t="s">
        <v>39</v>
      </c>
      <c r="C124" s="59" t="s">
        <v>70</v>
      </c>
      <c r="D124" s="64"/>
      <c r="E124" s="72"/>
    </row>
    <row r="125" spans="1:5">
      <c r="A125" s="71"/>
      <c r="B125" s="65" t="s">
        <v>57</v>
      </c>
      <c r="C125" s="66">
        <v>100000</v>
      </c>
      <c r="D125" s="66" t="s">
        <v>43</v>
      </c>
      <c r="E125" s="72"/>
    </row>
    <row r="126" spans="1:5">
      <c r="A126" s="71"/>
      <c r="B126" s="65" t="s">
        <v>69</v>
      </c>
      <c r="C126" s="66">
        <v>5</v>
      </c>
      <c r="D126" s="66" t="s">
        <v>45</v>
      </c>
      <c r="E126" s="72"/>
    </row>
    <row r="127" spans="1:5">
      <c r="A127" s="71"/>
      <c r="B127" s="65" t="s">
        <v>53</v>
      </c>
      <c r="C127" s="66">
        <v>100</v>
      </c>
      <c r="D127" s="66" t="s">
        <v>45</v>
      </c>
      <c r="E127" s="72"/>
    </row>
    <row r="128" spans="1:5">
      <c r="A128" s="71"/>
      <c r="B128" s="65" t="s">
        <v>55</v>
      </c>
      <c r="C128" s="58">
        <f>IFERROR(ROUNDUP((0.707*C125)/(C126*C127),0),"")</f>
        <v>142</v>
      </c>
      <c r="D128" s="66" t="s">
        <v>47</v>
      </c>
      <c r="E128" s="72"/>
    </row>
    <row r="129" spans="1:5">
      <c r="A129" s="71"/>
      <c r="B129" s="65" t="s">
        <v>41</v>
      </c>
      <c r="C129" s="66">
        <f>IFERROR(VLOOKUP(C124,鋼材の基準強度!C6:P27,9,FALSE),"")</f>
        <v>84</v>
      </c>
      <c r="D129" s="66" t="s">
        <v>47</v>
      </c>
      <c r="E129" s="72"/>
    </row>
    <row r="130" spans="1:5">
      <c r="A130" s="71"/>
      <c r="B130" s="65" t="s">
        <v>49</v>
      </c>
      <c r="C130" s="61" t="str">
        <f>IFERROR(IF(C129&gt;C128,"○","×"),"")</f>
        <v>×</v>
      </c>
      <c r="D130" s="66"/>
      <c r="E130" s="72"/>
    </row>
    <row r="131" spans="1:5" ht="15" thickBot="1">
      <c r="A131" s="73"/>
      <c r="B131" s="74"/>
      <c r="C131" s="74"/>
      <c r="D131" s="74"/>
      <c r="E131" s="76"/>
    </row>
    <row r="132" spans="1:5">
      <c r="A132" s="71"/>
      <c r="B132" s="62"/>
      <c r="C132" s="62"/>
      <c r="D132" s="62"/>
      <c r="E132" s="72"/>
    </row>
    <row r="133" spans="1:5">
      <c r="A133" s="71"/>
      <c r="B133" s="58" t="s">
        <v>39</v>
      </c>
      <c r="C133" s="59"/>
      <c r="D133" s="64"/>
      <c r="E133" s="72"/>
    </row>
    <row r="134" spans="1:5">
      <c r="A134" s="71"/>
      <c r="B134" s="65" t="s">
        <v>57</v>
      </c>
      <c r="C134" s="66"/>
      <c r="D134" s="66" t="s">
        <v>43</v>
      </c>
      <c r="E134" s="72"/>
    </row>
    <row r="135" spans="1:5">
      <c r="A135" s="71"/>
      <c r="B135" s="65" t="s">
        <v>69</v>
      </c>
      <c r="C135" s="66"/>
      <c r="D135" s="66" t="s">
        <v>45</v>
      </c>
      <c r="E135" s="72"/>
    </row>
    <row r="136" spans="1:5">
      <c r="A136" s="71"/>
      <c r="B136" s="65" t="s">
        <v>53</v>
      </c>
      <c r="C136" s="66"/>
      <c r="D136" s="66" t="s">
        <v>45</v>
      </c>
      <c r="E136" s="72"/>
    </row>
    <row r="137" spans="1:5">
      <c r="A137" s="71"/>
      <c r="B137" s="65" t="s">
        <v>55</v>
      </c>
      <c r="C137" s="78" t="str">
        <f>IFERROR(ROUNDUP((0.707*C134)/(C135*C136),0),"")</f>
        <v/>
      </c>
      <c r="D137" s="66" t="s">
        <v>47</v>
      </c>
      <c r="E137" s="72"/>
    </row>
    <row r="138" spans="1:5">
      <c r="A138" s="71"/>
      <c r="B138" s="65" t="s">
        <v>41</v>
      </c>
      <c r="C138" s="80" t="str">
        <f>IFERROR(VLOOKUP(C133,鋼材の基準強度!C6:P27,9,FALSE),"")</f>
        <v/>
      </c>
      <c r="D138" s="66" t="s">
        <v>47</v>
      </c>
      <c r="E138" s="72"/>
    </row>
    <row r="139" spans="1:5">
      <c r="A139" s="71"/>
      <c r="B139" s="65" t="s">
        <v>49</v>
      </c>
      <c r="C139" s="79" t="str">
        <f>IFERROR(IF(C138&gt;C137,"○","×"),"")</f>
        <v>×</v>
      </c>
      <c r="D139" s="66"/>
      <c r="E139" s="72"/>
    </row>
    <row r="140" spans="1:5" ht="15" thickBot="1">
      <c r="A140" s="71"/>
      <c r="B140" s="62"/>
      <c r="C140" s="62"/>
      <c r="D140" s="62"/>
      <c r="E140" s="72"/>
    </row>
    <row r="141" spans="1:5">
      <c r="A141" s="68"/>
      <c r="B141" s="69"/>
      <c r="C141" s="69"/>
      <c r="D141" s="69"/>
      <c r="E141" s="70"/>
    </row>
    <row r="142" spans="1:5">
      <c r="A142" s="71"/>
      <c r="B142" s="58" t="s">
        <v>39</v>
      </c>
      <c r="C142" s="59"/>
      <c r="D142" s="64"/>
      <c r="E142" s="72"/>
    </row>
    <row r="143" spans="1:5">
      <c r="A143" s="71"/>
      <c r="B143" s="65" t="s">
        <v>57</v>
      </c>
      <c r="C143" s="66"/>
      <c r="D143" s="66" t="s">
        <v>43</v>
      </c>
      <c r="E143" s="72"/>
    </row>
    <row r="144" spans="1:5">
      <c r="A144" s="71"/>
      <c r="B144" s="65" t="s">
        <v>71</v>
      </c>
      <c r="C144" s="66"/>
      <c r="D144" s="66" t="s">
        <v>45</v>
      </c>
      <c r="E144" s="72"/>
    </row>
    <row r="145" spans="1:5">
      <c r="A145" s="71"/>
      <c r="B145" s="65" t="s">
        <v>72</v>
      </c>
      <c r="C145" s="66"/>
      <c r="D145" s="66" t="s">
        <v>45</v>
      </c>
      <c r="E145" s="72"/>
    </row>
    <row r="146" spans="1:5">
      <c r="A146" s="71"/>
      <c r="B146" s="65" t="s">
        <v>73</v>
      </c>
      <c r="C146" s="66"/>
      <c r="D146" s="66" t="s">
        <v>45</v>
      </c>
      <c r="E146" s="72"/>
    </row>
    <row r="147" spans="1:5">
      <c r="A147" s="71"/>
      <c r="B147" s="65" t="s">
        <v>53</v>
      </c>
      <c r="C147" s="66"/>
      <c r="D147" s="66" t="s">
        <v>45</v>
      </c>
      <c r="E147" s="72"/>
    </row>
    <row r="148" spans="1:5">
      <c r="A148" s="71"/>
      <c r="B148" s="65" t="s">
        <v>74</v>
      </c>
      <c r="C148" s="78" t="str">
        <f>IFERROR(ROUNDUP((1.414*C143)/((C144+C145)*C147),0),"")</f>
        <v/>
      </c>
      <c r="D148" s="66" t="s">
        <v>47</v>
      </c>
      <c r="E148" s="72"/>
    </row>
    <row r="149" spans="1:5">
      <c r="A149" s="71"/>
      <c r="B149" s="65" t="s">
        <v>41</v>
      </c>
      <c r="C149" s="80" t="str">
        <f>IFERROR(VLOOKUP(C142,鋼材の基準強度!C6:P27,9,FALSE),"")</f>
        <v/>
      </c>
      <c r="D149" s="66" t="s">
        <v>47</v>
      </c>
      <c r="E149" s="72"/>
    </row>
    <row r="150" spans="1:5">
      <c r="A150" s="71"/>
      <c r="B150" s="65" t="s">
        <v>49</v>
      </c>
      <c r="C150" s="79" t="str">
        <f>IFERROR(IF(C149&gt;C148,"○","×"),"")</f>
        <v>×</v>
      </c>
      <c r="D150" s="66"/>
      <c r="E150" s="72"/>
    </row>
    <row r="151" spans="1:5">
      <c r="A151" s="71"/>
      <c r="B151" s="65" t="s">
        <v>75</v>
      </c>
      <c r="C151" s="78" t="str">
        <f>IFERROR(ROUNDUP((1.414*C143*C145)/(C146*C147*(C144+C145)),0),"")</f>
        <v/>
      </c>
      <c r="D151" s="66" t="s">
        <v>47</v>
      </c>
      <c r="E151" s="72"/>
    </row>
    <row r="152" spans="1:5">
      <c r="A152" s="71"/>
      <c r="B152" s="65" t="s">
        <v>49</v>
      </c>
      <c r="C152" s="79" t="str">
        <f>IFERROR(IF(C149&gt;C151,"○","×"),"")</f>
        <v>×</v>
      </c>
      <c r="D152" s="66"/>
      <c r="E152" s="72"/>
    </row>
    <row r="153" spans="1:5" ht="15" thickBot="1">
      <c r="A153" s="73"/>
      <c r="B153" s="74"/>
      <c r="C153" s="74"/>
      <c r="D153" s="74"/>
      <c r="E153" s="76"/>
    </row>
    <row r="154" spans="1:5">
      <c r="A154" s="71"/>
      <c r="B154" s="62"/>
      <c r="C154" s="62"/>
      <c r="D154" s="62"/>
      <c r="E154" s="72"/>
    </row>
    <row r="155" spans="1:5">
      <c r="A155" s="71"/>
      <c r="B155" s="58" t="s">
        <v>39</v>
      </c>
      <c r="C155" s="59"/>
      <c r="D155" s="64"/>
      <c r="E155" s="72"/>
    </row>
    <row r="156" spans="1:5">
      <c r="A156" s="71"/>
      <c r="B156" s="65" t="s">
        <v>57</v>
      </c>
      <c r="C156" s="66"/>
      <c r="D156" s="66" t="s">
        <v>43</v>
      </c>
      <c r="E156" s="72"/>
    </row>
    <row r="157" spans="1:5">
      <c r="A157" s="71"/>
      <c r="B157" s="65" t="s">
        <v>69</v>
      </c>
      <c r="C157" s="66"/>
      <c r="D157" s="66" t="s">
        <v>45</v>
      </c>
      <c r="E157" s="72"/>
    </row>
    <row r="158" spans="1:5">
      <c r="A158" s="71"/>
      <c r="B158" s="65" t="s">
        <v>53</v>
      </c>
      <c r="C158" s="66"/>
      <c r="D158" s="66" t="s">
        <v>45</v>
      </c>
      <c r="E158" s="72"/>
    </row>
    <row r="159" spans="1:5">
      <c r="A159" s="71"/>
      <c r="B159" s="65" t="s">
        <v>55</v>
      </c>
      <c r="C159" s="78" t="str">
        <f>IFERROR(ROUNDUP((0.354*C156)/(C157*C158),0),"")</f>
        <v/>
      </c>
      <c r="D159" s="66" t="s">
        <v>47</v>
      </c>
      <c r="E159" s="72"/>
    </row>
    <row r="160" spans="1:5">
      <c r="A160" s="71"/>
      <c r="B160" s="65" t="s">
        <v>41</v>
      </c>
      <c r="C160" s="80" t="str">
        <f>IFERROR(VLOOKUP(C155,鋼材の基準強度!C6:P27,9,FALSE),"")</f>
        <v/>
      </c>
      <c r="D160" s="66" t="s">
        <v>47</v>
      </c>
      <c r="E160" s="72"/>
    </row>
    <row r="161" spans="1:5">
      <c r="A161" s="71"/>
      <c r="B161" s="65" t="s">
        <v>49</v>
      </c>
      <c r="C161" s="79" t="str">
        <f>IFERROR(IF(C160&gt;C159,"○","×"),"")</f>
        <v>×</v>
      </c>
      <c r="D161" s="66"/>
      <c r="E161" s="72"/>
    </row>
    <row r="162" spans="1:5" ht="15" thickBot="1">
      <c r="A162" s="71"/>
      <c r="B162" s="62"/>
      <c r="C162" s="62"/>
      <c r="D162" s="62"/>
      <c r="E162" s="72"/>
    </row>
    <row r="163" spans="1:5">
      <c r="A163" s="68"/>
      <c r="B163" s="69"/>
      <c r="C163" s="69"/>
      <c r="D163" s="69"/>
      <c r="E163" s="70"/>
    </row>
    <row r="164" spans="1:5">
      <c r="A164" s="71"/>
      <c r="B164" s="58" t="s">
        <v>39</v>
      </c>
      <c r="C164" s="59"/>
      <c r="D164" s="64"/>
      <c r="E164" s="72"/>
    </row>
    <row r="165" spans="1:5">
      <c r="A165" s="71"/>
      <c r="B165" s="65" t="s">
        <v>57</v>
      </c>
      <c r="C165" s="66"/>
      <c r="D165" s="66" t="s">
        <v>43</v>
      </c>
      <c r="E165" s="72"/>
    </row>
    <row r="166" spans="1:5">
      <c r="A166" s="71"/>
      <c r="B166" s="65" t="s">
        <v>69</v>
      </c>
      <c r="C166" s="66"/>
      <c r="D166" s="66" t="s">
        <v>45</v>
      </c>
      <c r="E166" s="72"/>
    </row>
    <row r="167" spans="1:5">
      <c r="A167" s="71"/>
      <c r="B167" s="65" t="s">
        <v>76</v>
      </c>
      <c r="C167" s="66"/>
      <c r="D167" s="66" t="s">
        <v>45</v>
      </c>
      <c r="E167" s="72"/>
    </row>
    <row r="168" spans="1:5">
      <c r="A168" s="71"/>
      <c r="B168" s="65" t="s">
        <v>77</v>
      </c>
      <c r="C168" s="66"/>
      <c r="D168" s="66" t="s">
        <v>45</v>
      </c>
      <c r="E168" s="72"/>
    </row>
    <row r="169" spans="1:5">
      <c r="A169" s="71"/>
      <c r="B169" s="65" t="s">
        <v>55</v>
      </c>
      <c r="C169" s="78" t="str">
        <f>IFERROR(ROUNDUP((1.414*C165)/(C166*(C167+C168)),0),"")</f>
        <v/>
      </c>
      <c r="D169" s="66" t="s">
        <v>47</v>
      </c>
      <c r="E169" s="72"/>
    </row>
    <row r="170" spans="1:5">
      <c r="A170" s="71"/>
      <c r="B170" s="65" t="s">
        <v>41</v>
      </c>
      <c r="C170" s="80" t="str">
        <f>IFERROR(VLOOKUP(C164,鋼材の基準強度!C6:P27,9,FALSE),"")</f>
        <v/>
      </c>
      <c r="D170" s="66" t="s">
        <v>47</v>
      </c>
      <c r="E170" s="72"/>
    </row>
    <row r="171" spans="1:5">
      <c r="A171" s="71"/>
      <c r="B171" s="65" t="s">
        <v>49</v>
      </c>
      <c r="C171" s="79" t="str">
        <f>IFERROR(IF(C170&gt;C169,"○","×"),"")</f>
        <v>×</v>
      </c>
      <c r="D171" s="66"/>
      <c r="E171" s="72"/>
    </row>
    <row r="172" spans="1:5" ht="15" thickBot="1">
      <c r="A172" s="73"/>
      <c r="B172" s="74"/>
      <c r="C172" s="74"/>
      <c r="D172" s="74"/>
      <c r="E172" s="76"/>
    </row>
    <row r="173" spans="1:5">
      <c r="A173" s="71"/>
      <c r="B173" s="62"/>
      <c r="C173" s="62"/>
      <c r="D173" s="62"/>
      <c r="E173" s="72"/>
    </row>
    <row r="174" spans="1:5">
      <c r="A174" s="71"/>
      <c r="B174" s="58" t="s">
        <v>39</v>
      </c>
      <c r="C174" s="59"/>
      <c r="D174" s="64"/>
      <c r="E174" s="72"/>
    </row>
    <row r="175" spans="1:5">
      <c r="A175" s="71"/>
      <c r="B175" s="65" t="s">
        <v>78</v>
      </c>
      <c r="C175" s="66"/>
      <c r="D175" s="66" t="s">
        <v>62</v>
      </c>
      <c r="E175" s="72"/>
    </row>
    <row r="176" spans="1:5">
      <c r="A176" s="71"/>
      <c r="B176" s="65" t="s">
        <v>79</v>
      </c>
      <c r="C176" s="66"/>
      <c r="D176" s="66" t="s">
        <v>45</v>
      </c>
      <c r="E176" s="72"/>
    </row>
    <row r="177" spans="1:5">
      <c r="A177" s="71"/>
      <c r="B177" s="65" t="s">
        <v>80</v>
      </c>
      <c r="C177" s="66"/>
      <c r="D177" s="66" t="s">
        <v>45</v>
      </c>
      <c r="E177" s="72"/>
    </row>
    <row r="178" spans="1:5">
      <c r="A178" s="71"/>
      <c r="B178" s="65" t="s">
        <v>65</v>
      </c>
      <c r="C178" s="80" t="str">
        <f>IFERROR(ROUNDUP((2.83*C175*1000)/(C176*C177^2*PI()),0),"")</f>
        <v/>
      </c>
      <c r="D178" s="66" t="s">
        <v>47</v>
      </c>
      <c r="E178" s="72"/>
    </row>
    <row r="179" spans="1:5">
      <c r="A179" s="71"/>
      <c r="B179" s="65" t="s">
        <v>41</v>
      </c>
      <c r="C179" s="80" t="str">
        <f>IFERROR(VLOOKUP(C174,鋼材の基準強度!C6:P27,10,FALSE),"")</f>
        <v/>
      </c>
      <c r="D179" s="66" t="s">
        <v>47</v>
      </c>
      <c r="E179" s="72"/>
    </row>
    <row r="180" spans="1:5">
      <c r="A180" s="71"/>
      <c r="B180" s="65" t="s">
        <v>49</v>
      </c>
      <c r="C180" s="79" t="str">
        <f>IFERROR(IF(C179&gt;C178,"○","×"),"")</f>
        <v>×</v>
      </c>
      <c r="D180" s="66"/>
      <c r="E180" s="72"/>
    </row>
    <row r="181" spans="1:5" ht="15" thickBot="1">
      <c r="A181" s="71"/>
      <c r="B181" s="62"/>
      <c r="C181" s="62"/>
      <c r="D181" s="62"/>
      <c r="E181" s="72"/>
    </row>
    <row r="182" spans="1:5">
      <c r="A182" s="68"/>
      <c r="B182" s="69"/>
      <c r="C182" s="69"/>
      <c r="D182" s="69"/>
      <c r="E182" s="70"/>
    </row>
    <row r="183" spans="1:5">
      <c r="A183" s="71"/>
      <c r="B183" s="58" t="s">
        <v>39</v>
      </c>
      <c r="C183" s="59"/>
      <c r="D183" s="64"/>
      <c r="E183" s="72"/>
    </row>
    <row r="184" spans="1:5">
      <c r="A184" s="71"/>
      <c r="B184" s="65" t="s">
        <v>81</v>
      </c>
      <c r="C184" s="66"/>
      <c r="D184" s="66" t="s">
        <v>62</v>
      </c>
      <c r="E184" s="72"/>
    </row>
    <row r="185" spans="1:5">
      <c r="A185" s="71"/>
      <c r="B185" s="65" t="s">
        <v>79</v>
      </c>
      <c r="C185" s="66"/>
      <c r="D185" s="66" t="s">
        <v>45</v>
      </c>
      <c r="E185" s="72"/>
    </row>
    <row r="186" spans="1:5">
      <c r="A186" s="71"/>
      <c r="B186" s="65" t="s">
        <v>80</v>
      </c>
      <c r="C186" s="66"/>
      <c r="D186" s="66" t="s">
        <v>45</v>
      </c>
      <c r="E186" s="72"/>
    </row>
    <row r="187" spans="1:5">
      <c r="A187" s="71"/>
      <c r="B187" s="65" t="s">
        <v>65</v>
      </c>
      <c r="C187" s="80" t="str">
        <f>IFERROR(ROUNDUP((5.66*C184*1000)/(C185*C186^2*PI()),0),"")</f>
        <v/>
      </c>
      <c r="D187" s="66" t="s">
        <v>47</v>
      </c>
      <c r="E187" s="72"/>
    </row>
    <row r="188" spans="1:5">
      <c r="A188" s="71"/>
      <c r="B188" s="65" t="s">
        <v>41</v>
      </c>
      <c r="C188" s="80" t="str">
        <f>IFERROR(VLOOKUP(C183,鋼材の基準強度!C6:P27,10,FALSE),"")</f>
        <v/>
      </c>
      <c r="D188" s="66" t="s">
        <v>47</v>
      </c>
      <c r="E188" s="72"/>
    </row>
    <row r="189" spans="1:5">
      <c r="A189" s="71"/>
      <c r="B189" s="65" t="s">
        <v>49</v>
      </c>
      <c r="C189" s="79" t="str">
        <f>IFERROR(IF(C188&gt;C187,"○","×"),"")</f>
        <v>×</v>
      </c>
      <c r="D189" s="66"/>
      <c r="E189" s="72"/>
    </row>
    <row r="190" spans="1:5" ht="15" thickBot="1">
      <c r="A190" s="73"/>
      <c r="B190" s="74"/>
      <c r="C190" s="74"/>
      <c r="D190" s="74"/>
      <c r="E190" s="76"/>
    </row>
    <row r="191" spans="1:5">
      <c r="A191" s="71"/>
      <c r="B191" s="62"/>
      <c r="C191" s="62"/>
      <c r="D191" s="62"/>
      <c r="E191" s="72"/>
    </row>
    <row r="192" spans="1:5">
      <c r="A192" s="71"/>
      <c r="B192" s="58" t="s">
        <v>39</v>
      </c>
      <c r="C192" s="59"/>
      <c r="D192" s="64"/>
      <c r="E192" s="72"/>
    </row>
    <row r="193" spans="1:5">
      <c r="A193" s="71"/>
      <c r="B193" s="65" t="s">
        <v>81</v>
      </c>
      <c r="C193" s="66"/>
      <c r="D193" s="66" t="s">
        <v>62</v>
      </c>
      <c r="E193" s="72"/>
    </row>
    <row r="194" spans="1:5">
      <c r="A194" s="71"/>
      <c r="B194" s="65" t="s">
        <v>79</v>
      </c>
      <c r="C194" s="66"/>
      <c r="D194" s="66" t="s">
        <v>45</v>
      </c>
      <c r="E194" s="72"/>
    </row>
    <row r="195" spans="1:5">
      <c r="A195" s="71"/>
      <c r="B195" s="65" t="s">
        <v>82</v>
      </c>
      <c r="C195" s="66"/>
      <c r="D195" s="66" t="s">
        <v>45</v>
      </c>
      <c r="E195" s="72"/>
    </row>
    <row r="196" spans="1:5">
      <c r="A196" s="71"/>
      <c r="B196" s="65" t="s">
        <v>83</v>
      </c>
      <c r="C196" s="66"/>
      <c r="D196" s="66" t="s">
        <v>45</v>
      </c>
      <c r="E196" s="72"/>
    </row>
    <row r="197" spans="1:5">
      <c r="A197" s="71"/>
      <c r="B197" s="65" t="s">
        <v>63</v>
      </c>
      <c r="C197" s="80" t="str">
        <f>IFERROR(ROUNDUP((4.24*C193*1000)/(C194*(C195^2+3*C196*(C195+C194))),0),"")</f>
        <v/>
      </c>
      <c r="D197" s="66" t="s">
        <v>47</v>
      </c>
      <c r="E197" s="72"/>
    </row>
    <row r="198" spans="1:5">
      <c r="A198" s="71"/>
      <c r="B198" s="65" t="s">
        <v>41</v>
      </c>
      <c r="C198" s="80" t="str">
        <f>IFERROR(VLOOKUP(C192,鋼材の基準強度!C6:P27,9,FALSE),"")</f>
        <v/>
      </c>
      <c r="D198" s="66" t="s">
        <v>47</v>
      </c>
      <c r="E198" s="72"/>
    </row>
    <row r="199" spans="1:5">
      <c r="A199" s="71"/>
      <c r="B199" s="65" t="s">
        <v>49</v>
      </c>
      <c r="C199" s="79" t="str">
        <f>IFERROR(IF(C198&gt;C197,"○","×"),"")</f>
        <v>×</v>
      </c>
      <c r="D199" s="66"/>
      <c r="E199" s="72"/>
    </row>
    <row r="200" spans="1:5" ht="15" thickBot="1">
      <c r="A200" s="71"/>
      <c r="B200" s="62"/>
      <c r="C200" s="62"/>
      <c r="D200" s="62"/>
      <c r="E200" s="72"/>
    </row>
    <row r="201" spans="1:5">
      <c r="A201" s="68"/>
      <c r="B201" s="69"/>
      <c r="C201" s="69"/>
      <c r="D201" s="69"/>
      <c r="E201" s="70"/>
    </row>
    <row r="202" spans="1:5">
      <c r="A202" s="71"/>
      <c r="B202" s="58" t="s">
        <v>39</v>
      </c>
      <c r="C202" s="59"/>
      <c r="D202" s="64"/>
      <c r="E202" s="72"/>
    </row>
    <row r="203" spans="1:5">
      <c r="A203" s="71"/>
      <c r="B203" s="65" t="s">
        <v>57</v>
      </c>
      <c r="C203" s="66"/>
      <c r="D203" s="66" t="s">
        <v>43</v>
      </c>
      <c r="E203" s="72"/>
    </row>
    <row r="204" spans="1:5">
      <c r="A204" s="71"/>
      <c r="B204" s="65" t="s">
        <v>69</v>
      </c>
      <c r="C204" s="66"/>
      <c r="D204" s="66" t="s">
        <v>45</v>
      </c>
      <c r="E204" s="72"/>
    </row>
    <row r="205" spans="1:5">
      <c r="A205" s="71"/>
      <c r="B205" s="65" t="s">
        <v>53</v>
      </c>
      <c r="C205" s="66"/>
      <c r="D205" s="66" t="s">
        <v>45</v>
      </c>
      <c r="E205" s="72"/>
    </row>
    <row r="206" spans="1:5">
      <c r="A206" s="71"/>
      <c r="B206" s="65" t="s">
        <v>55</v>
      </c>
      <c r="C206" s="78" t="str">
        <f>IFERROR(ROUNDUP((0.707*C203)/(C204*C205),0),"")</f>
        <v/>
      </c>
      <c r="D206" s="66" t="s">
        <v>47</v>
      </c>
      <c r="E206" s="72"/>
    </row>
    <row r="207" spans="1:5">
      <c r="A207" s="71"/>
      <c r="B207" s="65" t="s">
        <v>41</v>
      </c>
      <c r="C207" s="80" t="str">
        <f>IFERROR(VLOOKUP(C202,鋼材の基準強度!C6:P27,9,FALSE),"")</f>
        <v/>
      </c>
      <c r="D207" s="66" t="s">
        <v>47</v>
      </c>
      <c r="E207" s="72"/>
    </row>
    <row r="208" spans="1:5">
      <c r="A208" s="71"/>
      <c r="B208" s="65" t="s">
        <v>49</v>
      </c>
      <c r="C208" s="79" t="str">
        <f>IFERROR(IF(C207&gt;C206,"○","×"),"")</f>
        <v>×</v>
      </c>
      <c r="D208" s="66"/>
      <c r="E208" s="72"/>
    </row>
    <row r="209" spans="1:5" ht="15" thickBot="1">
      <c r="A209" s="73"/>
      <c r="B209" s="74"/>
      <c r="C209" s="74"/>
      <c r="D209" s="74"/>
      <c r="E209" s="76"/>
    </row>
    <row r="210" spans="1:5">
      <c r="A210" s="71"/>
      <c r="B210" s="62"/>
      <c r="C210" s="62"/>
      <c r="D210" s="62"/>
      <c r="E210" s="72"/>
    </row>
    <row r="211" spans="1:5">
      <c r="A211" s="71"/>
      <c r="B211" s="58" t="s">
        <v>39</v>
      </c>
      <c r="C211" s="59"/>
      <c r="D211" s="64"/>
      <c r="E211" s="72"/>
    </row>
    <row r="212" spans="1:5">
      <c r="A212" s="71"/>
      <c r="B212" s="65" t="s">
        <v>81</v>
      </c>
      <c r="C212" s="66"/>
      <c r="D212" s="66" t="s">
        <v>62</v>
      </c>
      <c r="E212" s="72"/>
    </row>
    <row r="213" spans="1:5">
      <c r="A213" s="71"/>
      <c r="B213" s="65" t="s">
        <v>79</v>
      </c>
      <c r="C213" s="66"/>
      <c r="D213" s="66" t="s">
        <v>45</v>
      </c>
      <c r="E213" s="72"/>
    </row>
    <row r="214" spans="1:5">
      <c r="A214" s="71"/>
      <c r="B214" s="65" t="s">
        <v>82</v>
      </c>
      <c r="C214" s="66"/>
      <c r="D214" s="66" t="s">
        <v>45</v>
      </c>
      <c r="E214" s="72"/>
    </row>
    <row r="215" spans="1:5">
      <c r="A215" s="71"/>
      <c r="B215" s="65" t="s">
        <v>83</v>
      </c>
      <c r="C215" s="66"/>
      <c r="D215" s="66" t="s">
        <v>45</v>
      </c>
      <c r="E215" s="72"/>
    </row>
    <row r="216" spans="1:5">
      <c r="A216" s="71"/>
      <c r="B216" s="65" t="s">
        <v>63</v>
      </c>
      <c r="C216" s="80" t="str">
        <f>IFERROR(ROUNDUP((1.414*C212*1000)/(C213*C215*(C214+C213)),0),"")</f>
        <v/>
      </c>
      <c r="D216" s="66" t="s">
        <v>47</v>
      </c>
      <c r="E216" s="72"/>
    </row>
    <row r="217" spans="1:5">
      <c r="A217" s="71"/>
      <c r="B217" s="65" t="s">
        <v>41</v>
      </c>
      <c r="C217" s="80" t="str">
        <f>IFERROR(VLOOKUP(C211,鋼材の基準強度!C6:P27,9,FALSE),"")</f>
        <v/>
      </c>
      <c r="D217" s="66" t="s">
        <v>47</v>
      </c>
      <c r="E217" s="72"/>
    </row>
    <row r="218" spans="1:5">
      <c r="A218" s="71"/>
      <c r="B218" s="65" t="s">
        <v>49</v>
      </c>
      <c r="C218" s="79" t="str">
        <f>IFERROR(IF(C217&gt;C216,"○","×"),"")</f>
        <v>×</v>
      </c>
      <c r="D218" s="66"/>
      <c r="E218" s="72"/>
    </row>
    <row r="219" spans="1:5" ht="15" thickBot="1">
      <c r="A219" s="71"/>
      <c r="B219" s="62"/>
      <c r="C219" s="62"/>
      <c r="D219" s="62"/>
      <c r="E219" s="72"/>
    </row>
    <row r="220" spans="1:5">
      <c r="A220" s="68"/>
      <c r="B220" s="69"/>
      <c r="C220" s="69"/>
      <c r="D220" s="69"/>
      <c r="E220" s="70"/>
    </row>
    <row r="221" spans="1:5">
      <c r="A221" s="71"/>
      <c r="B221" s="58" t="s">
        <v>39</v>
      </c>
      <c r="C221" s="59"/>
      <c r="D221" s="64"/>
      <c r="E221" s="72"/>
    </row>
    <row r="222" spans="1:5">
      <c r="A222" s="71"/>
      <c r="B222" s="65" t="s">
        <v>81</v>
      </c>
      <c r="C222" s="66"/>
      <c r="D222" s="66" t="s">
        <v>62</v>
      </c>
      <c r="E222" s="72"/>
    </row>
    <row r="223" spans="1:5">
      <c r="A223" s="71"/>
      <c r="B223" s="65" t="s">
        <v>79</v>
      </c>
      <c r="C223" s="66"/>
      <c r="D223" s="66" t="s">
        <v>45</v>
      </c>
      <c r="E223" s="72"/>
    </row>
    <row r="224" spans="1:5">
      <c r="A224" s="71"/>
      <c r="B224" s="65" t="s">
        <v>84</v>
      </c>
      <c r="C224" s="66"/>
      <c r="D224" s="66" t="s">
        <v>45</v>
      </c>
      <c r="E224" s="72"/>
    </row>
    <row r="225" spans="1:5">
      <c r="A225" s="71"/>
      <c r="B225" s="65" t="s">
        <v>63</v>
      </c>
      <c r="C225" s="80" t="str">
        <f>IFERROR(ROUNDUP((4.24*C222*1000)/(C223*C224^2),0),"")</f>
        <v/>
      </c>
      <c r="D225" s="66" t="s">
        <v>47</v>
      </c>
      <c r="E225" s="72"/>
    </row>
    <row r="226" spans="1:5">
      <c r="A226" s="71"/>
      <c r="B226" s="65" t="s">
        <v>41</v>
      </c>
      <c r="C226" s="80" t="str">
        <f>IFERROR(VLOOKUP(C221,鋼材の基準強度!C6:P27,9,FALSE),"")</f>
        <v/>
      </c>
      <c r="D226" s="66" t="s">
        <v>47</v>
      </c>
      <c r="E226" s="72"/>
    </row>
    <row r="227" spans="1:5">
      <c r="A227" s="71"/>
      <c r="B227" s="65" t="s">
        <v>49</v>
      </c>
      <c r="C227" s="79" t="str">
        <f>IFERROR(IF(C226&gt;C225,"○","×"),"")</f>
        <v>×</v>
      </c>
      <c r="D227" s="66"/>
      <c r="E227" s="72"/>
    </row>
    <row r="228" spans="1:5" ht="15" thickBot="1">
      <c r="A228" s="73"/>
      <c r="B228" s="74"/>
      <c r="C228" s="74"/>
      <c r="D228" s="74"/>
      <c r="E228" s="76"/>
    </row>
    <row r="229" spans="1:5">
      <c r="A229" s="71"/>
      <c r="B229" s="62"/>
      <c r="C229" s="62"/>
      <c r="D229" s="62"/>
      <c r="E229" s="72"/>
    </row>
    <row r="230" spans="1:5">
      <c r="A230" s="71"/>
      <c r="B230" s="58" t="s">
        <v>39</v>
      </c>
      <c r="C230" s="59"/>
      <c r="D230" s="64"/>
      <c r="E230" s="72"/>
    </row>
    <row r="231" spans="1:5">
      <c r="A231" s="71"/>
      <c r="B231" s="65" t="s">
        <v>58</v>
      </c>
      <c r="C231" s="66"/>
      <c r="D231" s="66" t="s">
        <v>44</v>
      </c>
      <c r="E231" s="72"/>
    </row>
    <row r="232" spans="1:5">
      <c r="A232" s="71"/>
      <c r="B232" s="65" t="s">
        <v>64</v>
      </c>
      <c r="C232" s="66"/>
      <c r="D232" s="66" t="s">
        <v>45</v>
      </c>
      <c r="E232" s="72"/>
    </row>
    <row r="233" spans="1:5">
      <c r="A233" s="71"/>
      <c r="B233" s="65" t="s">
        <v>79</v>
      </c>
      <c r="C233" s="66"/>
      <c r="D233" s="66" t="s">
        <v>45</v>
      </c>
      <c r="E233" s="72"/>
    </row>
    <row r="234" spans="1:5">
      <c r="A234" s="71"/>
      <c r="B234" s="65" t="s">
        <v>84</v>
      </c>
      <c r="C234" s="66"/>
      <c r="D234" s="66" t="s">
        <v>45</v>
      </c>
      <c r="E234" s="72"/>
    </row>
    <row r="235" spans="1:5">
      <c r="A235" s="71"/>
      <c r="B235" s="65" t="s">
        <v>85</v>
      </c>
      <c r="C235" s="80" t="str">
        <f>IFERROR(ROUNDUP((4.24*C231*C232)/(C233*C234^2),0),"")</f>
        <v/>
      </c>
      <c r="D235" s="66" t="s">
        <v>47</v>
      </c>
      <c r="E235" s="72"/>
    </row>
    <row r="236" spans="1:5">
      <c r="A236" s="71"/>
      <c r="B236" s="65" t="s">
        <v>41</v>
      </c>
      <c r="C236" s="80" t="str">
        <f>IFERROR(VLOOKUP(C230,鋼材の基準強度!C6:P27,9,FALSE),"")</f>
        <v/>
      </c>
      <c r="D236" s="66" t="s">
        <v>47</v>
      </c>
      <c r="E236" s="72"/>
    </row>
    <row r="237" spans="1:5">
      <c r="A237" s="71"/>
      <c r="B237" s="65" t="s">
        <v>49</v>
      </c>
      <c r="C237" s="79" t="str">
        <f>IFERROR(IF(C236&gt;C235,"○","×"),"")</f>
        <v>×</v>
      </c>
      <c r="D237" s="66"/>
      <c r="E237" s="72"/>
    </row>
    <row r="238" spans="1:5">
      <c r="A238" s="71"/>
      <c r="B238" s="65" t="s">
        <v>86</v>
      </c>
      <c r="C238" s="80" t="str">
        <f>IFERROR(ROUNDUP((0.707*C231)/(C233*C234),0),"")</f>
        <v/>
      </c>
      <c r="D238" s="66" t="s">
        <v>47</v>
      </c>
      <c r="E238" s="72"/>
    </row>
    <row r="239" spans="1:5">
      <c r="A239" s="71"/>
      <c r="B239" s="65" t="s">
        <v>41</v>
      </c>
      <c r="C239" s="80" t="str">
        <f>IFERROR(VLOOKUP(C230,鋼材の基準強度!C9:P30,10,FALSE),"")</f>
        <v/>
      </c>
      <c r="D239" s="66" t="s">
        <v>47</v>
      </c>
      <c r="E239" s="72"/>
    </row>
    <row r="240" spans="1:5">
      <c r="A240" s="71"/>
      <c r="B240" s="65" t="s">
        <v>49</v>
      </c>
      <c r="C240" s="79" t="str">
        <f>IFERROR(IF(C239&gt;C238,"○","×"),"")</f>
        <v>×</v>
      </c>
      <c r="D240" s="66"/>
      <c r="E240" s="72"/>
    </row>
    <row r="241" spans="1:5" ht="15" thickBot="1">
      <c r="A241" s="71"/>
      <c r="B241" s="62"/>
      <c r="C241" s="62"/>
      <c r="D241" s="62"/>
      <c r="E241" s="72"/>
    </row>
    <row r="242" spans="1:5">
      <c r="A242" s="68"/>
      <c r="B242" s="69"/>
      <c r="C242" s="69"/>
      <c r="D242" s="69"/>
      <c r="E242" s="70"/>
    </row>
    <row r="243" spans="1:5">
      <c r="A243" s="71"/>
      <c r="B243" s="58" t="s">
        <v>39</v>
      </c>
      <c r="C243" s="59"/>
      <c r="D243" s="64"/>
      <c r="E243" s="72"/>
    </row>
    <row r="244" spans="1:5">
      <c r="A244" s="71"/>
      <c r="B244" s="65" t="s">
        <v>81</v>
      </c>
      <c r="C244" s="66"/>
      <c r="D244" s="66" t="s">
        <v>62</v>
      </c>
      <c r="E244" s="72"/>
    </row>
    <row r="245" spans="1:5">
      <c r="A245" s="71"/>
      <c r="B245" s="65" t="s">
        <v>87</v>
      </c>
      <c r="C245" s="66"/>
      <c r="D245" s="66" t="s">
        <v>45</v>
      </c>
      <c r="E245" s="72"/>
    </row>
    <row r="246" spans="1:5">
      <c r="A246" s="71"/>
      <c r="B246" s="65" t="s">
        <v>84</v>
      </c>
      <c r="C246" s="66"/>
      <c r="D246" s="66" t="s">
        <v>45</v>
      </c>
      <c r="E246" s="72"/>
    </row>
    <row r="247" spans="1:5">
      <c r="A247" s="71"/>
      <c r="B247" s="65" t="s">
        <v>63</v>
      </c>
      <c r="C247" s="80" t="str">
        <f>IFERROR(ROUNDUP((6*C244*1000)/(C245*C246^2),0),"")</f>
        <v/>
      </c>
      <c r="D247" s="66" t="s">
        <v>47</v>
      </c>
      <c r="E247" s="72"/>
    </row>
    <row r="248" spans="1:5">
      <c r="A248" s="71"/>
      <c r="B248" s="65" t="s">
        <v>41</v>
      </c>
      <c r="C248" s="80" t="str">
        <f>IFERROR(VLOOKUP(C243,鋼材の基準強度!C9:P30,9,FALSE),"")</f>
        <v/>
      </c>
      <c r="D248" s="66" t="s">
        <v>47</v>
      </c>
      <c r="E248" s="72"/>
    </row>
    <row r="249" spans="1:5">
      <c r="A249" s="71"/>
      <c r="B249" s="65" t="s">
        <v>49</v>
      </c>
      <c r="C249" s="79" t="str">
        <f>IFERROR(IF(C248&gt;C247,"○","×"),"")</f>
        <v>×</v>
      </c>
      <c r="D249" s="66"/>
      <c r="E249" s="72"/>
    </row>
    <row r="250" spans="1:5" ht="15" thickBot="1">
      <c r="A250" s="73"/>
      <c r="B250" s="74"/>
      <c r="C250" s="74"/>
      <c r="D250" s="74"/>
      <c r="E250" s="76"/>
    </row>
    <row r="251" spans="1:5">
      <c r="A251" s="71"/>
      <c r="B251" s="62"/>
      <c r="C251" s="62"/>
      <c r="D251" s="62"/>
      <c r="E251" s="72"/>
    </row>
    <row r="252" spans="1:5">
      <c r="A252" s="71"/>
      <c r="B252" s="58" t="s">
        <v>39</v>
      </c>
      <c r="C252" s="59"/>
      <c r="D252" s="64"/>
      <c r="E252" s="72"/>
    </row>
    <row r="253" spans="1:5">
      <c r="A253" s="71"/>
      <c r="B253" s="65" t="s">
        <v>58</v>
      </c>
      <c r="C253" s="66"/>
      <c r="D253" s="66" t="s">
        <v>44</v>
      </c>
      <c r="E253" s="72"/>
    </row>
    <row r="254" spans="1:5">
      <c r="A254" s="71"/>
      <c r="B254" s="65" t="s">
        <v>64</v>
      </c>
      <c r="C254" s="66"/>
      <c r="D254" s="66" t="s">
        <v>45</v>
      </c>
      <c r="E254" s="72"/>
    </row>
    <row r="255" spans="1:5">
      <c r="A255" s="71"/>
      <c r="B255" s="65" t="s">
        <v>89</v>
      </c>
      <c r="C255" s="66"/>
      <c r="D255" s="66" t="s">
        <v>45</v>
      </c>
      <c r="E255" s="72"/>
    </row>
    <row r="256" spans="1:5">
      <c r="A256" s="71"/>
      <c r="B256" s="65" t="s">
        <v>90</v>
      </c>
      <c r="C256" s="66"/>
      <c r="D256" s="66" t="s">
        <v>45</v>
      </c>
      <c r="E256" s="72"/>
    </row>
    <row r="257" spans="1:5">
      <c r="A257" s="71"/>
      <c r="B257" s="65" t="s">
        <v>88</v>
      </c>
      <c r="C257" s="80" t="str">
        <f>IFERROR(ROUNDUP((6*C253*C254)/(C255*C256^2),0),"")</f>
        <v/>
      </c>
      <c r="D257" s="66" t="s">
        <v>47</v>
      </c>
      <c r="E257" s="72"/>
    </row>
    <row r="258" spans="1:5">
      <c r="A258" s="71"/>
      <c r="B258" s="65" t="s">
        <v>41</v>
      </c>
      <c r="C258" s="80" t="str">
        <f>IFERROR(VLOOKUP(C252,鋼材の基準強度!C9:P30,9,FALSE),"")</f>
        <v/>
      </c>
      <c r="D258" s="66" t="s">
        <v>47</v>
      </c>
      <c r="E258" s="72"/>
    </row>
    <row r="259" spans="1:5">
      <c r="A259" s="71"/>
      <c r="B259" s="65" t="s">
        <v>49</v>
      </c>
      <c r="C259" s="79" t="str">
        <f>IFERROR(IF(C258&gt;C257,"○","×"),"")</f>
        <v>×</v>
      </c>
      <c r="D259" s="66"/>
      <c r="E259" s="72"/>
    </row>
    <row r="260" spans="1:5">
      <c r="A260" s="71"/>
      <c r="B260" s="65" t="s">
        <v>65</v>
      </c>
      <c r="C260" s="80" t="str">
        <f>IFERROR(ROUNDUP(C253/(C255*C256),0),"")</f>
        <v/>
      </c>
      <c r="D260" s="66" t="s">
        <v>47</v>
      </c>
      <c r="E260" s="72"/>
    </row>
    <row r="261" spans="1:5">
      <c r="A261" s="71"/>
      <c r="B261" s="65" t="s">
        <v>41</v>
      </c>
      <c r="C261" s="80" t="str">
        <f>IFERROR(VLOOKUP(C252,鋼材の基準強度!C9:P30,10,FALSE),"")</f>
        <v/>
      </c>
      <c r="D261" s="66" t="s">
        <v>47</v>
      </c>
      <c r="E261" s="72"/>
    </row>
    <row r="262" spans="1:5">
      <c r="A262" s="71"/>
      <c r="B262" s="65" t="s">
        <v>49</v>
      </c>
      <c r="C262" s="79" t="str">
        <f>IFERROR(IF(C261&gt;C260,"○","×"),"")</f>
        <v>×</v>
      </c>
      <c r="D262" s="66"/>
      <c r="E262" s="72"/>
    </row>
    <row r="263" spans="1:5" ht="15" thickBot="1">
      <c r="A263" s="71"/>
      <c r="B263" s="62"/>
      <c r="C263" s="62"/>
      <c r="D263" s="62"/>
      <c r="E263" s="72"/>
    </row>
    <row r="264" spans="1:5">
      <c r="A264" s="68"/>
      <c r="B264" s="69"/>
      <c r="C264" s="69"/>
      <c r="D264" s="69"/>
      <c r="E264" s="70"/>
    </row>
    <row r="265" spans="1:5">
      <c r="A265" s="71"/>
      <c r="B265" s="58" t="s">
        <v>39</v>
      </c>
      <c r="C265" s="59"/>
      <c r="D265" s="64"/>
      <c r="E265" s="72"/>
    </row>
    <row r="266" spans="1:5">
      <c r="A266" s="71"/>
      <c r="B266" s="65" t="s">
        <v>78</v>
      </c>
      <c r="C266" s="66"/>
      <c r="D266" s="66" t="s">
        <v>62</v>
      </c>
      <c r="E266" s="72"/>
    </row>
    <row r="267" spans="1:5">
      <c r="A267" s="71"/>
      <c r="B267" s="65" t="s">
        <v>89</v>
      </c>
      <c r="C267" s="66"/>
      <c r="D267" s="66" t="s">
        <v>45</v>
      </c>
      <c r="E267" s="72"/>
    </row>
    <row r="268" spans="1:5">
      <c r="A268" s="71"/>
      <c r="B268" s="65" t="s">
        <v>90</v>
      </c>
      <c r="C268" s="66"/>
      <c r="D268" s="66" t="s">
        <v>45</v>
      </c>
      <c r="E268" s="72"/>
    </row>
    <row r="269" spans="1:5">
      <c r="A269" s="71"/>
      <c r="B269" s="65" t="s">
        <v>65</v>
      </c>
      <c r="C269" s="80" t="str">
        <f>IFERROR(ROUNDUP((C266*1000*(3*C268+1.8*C267))/(C267^2*C268^2),0),"")</f>
        <v/>
      </c>
      <c r="D269" s="66" t="s">
        <v>47</v>
      </c>
      <c r="E269" s="72"/>
    </row>
    <row r="270" spans="1:5">
      <c r="A270" s="71"/>
      <c r="B270" s="65" t="s">
        <v>41</v>
      </c>
      <c r="C270" s="80" t="str">
        <f>IFERROR(VLOOKUP(C265,鋼材の基準強度!C9:P30,10,FALSE),"")</f>
        <v/>
      </c>
      <c r="D270" s="66" t="s">
        <v>47</v>
      </c>
      <c r="E270" s="72"/>
    </row>
    <row r="271" spans="1:5">
      <c r="A271" s="71"/>
      <c r="B271" s="65" t="s">
        <v>49</v>
      </c>
      <c r="C271" s="79" t="str">
        <f>IFERROR(IF(C270&gt;C269,"○","×"),"")</f>
        <v>×</v>
      </c>
      <c r="D271" s="66"/>
      <c r="E271" s="72"/>
    </row>
    <row r="272" spans="1:5" ht="15" thickBot="1">
      <c r="A272" s="73"/>
      <c r="B272" s="74"/>
      <c r="C272" s="74"/>
      <c r="D272" s="74"/>
      <c r="E272" s="76"/>
    </row>
    <row r="273" spans="1:5">
      <c r="A273" s="71"/>
      <c r="B273" s="62"/>
      <c r="C273" s="62"/>
      <c r="D273" s="62"/>
      <c r="E273" s="72"/>
    </row>
    <row r="274" spans="1:5">
      <c r="A274" s="71"/>
      <c r="B274" s="58" t="s">
        <v>39</v>
      </c>
      <c r="C274" s="59"/>
      <c r="D274" s="64"/>
      <c r="E274" s="72"/>
    </row>
    <row r="275" spans="1:5">
      <c r="A275" s="71"/>
      <c r="B275" s="65" t="s">
        <v>81</v>
      </c>
      <c r="C275" s="66"/>
      <c r="D275" s="66" t="s">
        <v>62</v>
      </c>
      <c r="E275" s="72"/>
    </row>
    <row r="276" spans="1:5">
      <c r="A276" s="71"/>
      <c r="B276" s="65" t="s">
        <v>91</v>
      </c>
      <c r="C276" s="66"/>
      <c r="D276" s="66" t="s">
        <v>45</v>
      </c>
      <c r="E276" s="72"/>
    </row>
    <row r="277" spans="1:5">
      <c r="A277" s="71"/>
      <c r="B277" s="65" t="s">
        <v>84</v>
      </c>
      <c r="C277" s="82"/>
      <c r="D277" s="66" t="s">
        <v>45</v>
      </c>
      <c r="E277" s="72"/>
    </row>
    <row r="278" spans="1:5">
      <c r="A278" s="71"/>
      <c r="B278" s="65" t="s">
        <v>63</v>
      </c>
      <c r="C278" s="80" t="str">
        <f>IFERROR(ROUNDUP((3*C275*1000)/(C276*C277^2),0),"")</f>
        <v/>
      </c>
      <c r="D278" s="66" t="s">
        <v>47</v>
      </c>
      <c r="E278" s="72"/>
    </row>
    <row r="279" spans="1:5">
      <c r="A279" s="71"/>
      <c r="B279" s="65" t="s">
        <v>41</v>
      </c>
      <c r="C279" s="80" t="str">
        <f>IFERROR(VLOOKUP(C274,鋼材の基準強度!C9:P30,9,FALSE),"")</f>
        <v/>
      </c>
      <c r="D279" s="66" t="s">
        <v>47</v>
      </c>
      <c r="E279" s="72"/>
    </row>
    <row r="280" spans="1:5">
      <c r="A280" s="71"/>
      <c r="B280" s="65" t="s">
        <v>49</v>
      </c>
      <c r="C280" s="79" t="str">
        <f>IFERROR(IF(C279&gt;C278,"○","×"),"")</f>
        <v>×</v>
      </c>
      <c r="D280" s="66"/>
      <c r="E280" s="72"/>
    </row>
    <row r="281" spans="1:5" ht="15" thickBot="1">
      <c r="A281" s="71"/>
      <c r="B281" s="62"/>
      <c r="C281" s="62"/>
      <c r="D281" s="62"/>
      <c r="E281" s="72"/>
    </row>
    <row r="282" spans="1:5">
      <c r="A282" s="68"/>
      <c r="B282" s="69"/>
      <c r="C282" s="69"/>
      <c r="D282" s="69"/>
      <c r="E282" s="70"/>
    </row>
    <row r="283" spans="1:5">
      <c r="A283" s="71"/>
      <c r="B283" s="58" t="s">
        <v>39</v>
      </c>
      <c r="C283" s="59"/>
      <c r="D283" s="64"/>
      <c r="E283" s="72"/>
    </row>
    <row r="284" spans="1:5">
      <c r="A284" s="71"/>
      <c r="B284" s="65" t="s">
        <v>58</v>
      </c>
      <c r="C284" s="66"/>
      <c r="D284" s="66" t="s">
        <v>44</v>
      </c>
      <c r="E284" s="72"/>
    </row>
    <row r="285" spans="1:5">
      <c r="A285" s="71"/>
      <c r="B285" s="65" t="s">
        <v>64</v>
      </c>
      <c r="C285" s="66"/>
      <c r="D285" s="66" t="s">
        <v>45</v>
      </c>
      <c r="E285" s="72"/>
    </row>
    <row r="286" spans="1:5">
      <c r="A286" s="71"/>
      <c r="B286" s="65" t="s">
        <v>92</v>
      </c>
      <c r="C286" s="66"/>
      <c r="D286" s="66" t="s">
        <v>45</v>
      </c>
      <c r="E286" s="72"/>
    </row>
    <row r="287" spans="1:5">
      <c r="A287" s="71"/>
      <c r="B287" s="65" t="s">
        <v>93</v>
      </c>
      <c r="C287" s="66"/>
      <c r="D287" s="66" t="s">
        <v>45</v>
      </c>
      <c r="E287" s="72"/>
    </row>
    <row r="288" spans="1:5">
      <c r="A288" s="71"/>
      <c r="B288" s="65" t="s">
        <v>88</v>
      </c>
      <c r="C288" s="80" t="str">
        <f>IFERROR(ROUNDUP((3*C284*C285)/(C286*C287^2),0),"")</f>
        <v/>
      </c>
      <c r="D288" s="66" t="s">
        <v>47</v>
      </c>
      <c r="E288" s="72"/>
    </row>
    <row r="289" spans="1:5">
      <c r="A289" s="71"/>
      <c r="B289" s="65" t="s">
        <v>41</v>
      </c>
      <c r="C289" s="80" t="str">
        <f>IFERROR(VLOOKUP(C283,鋼材の基準強度!C9:P30,9,FALSE),"")</f>
        <v/>
      </c>
      <c r="D289" s="66" t="s">
        <v>47</v>
      </c>
      <c r="E289" s="72"/>
    </row>
    <row r="290" spans="1:5">
      <c r="A290" s="71"/>
      <c r="B290" s="65" t="s">
        <v>49</v>
      </c>
      <c r="C290" s="79" t="str">
        <f>IFERROR(IF(C289&gt;C288,"○","×"),"")</f>
        <v>×</v>
      </c>
      <c r="D290" s="66"/>
      <c r="E290" s="72"/>
    </row>
    <row r="291" spans="1:5">
      <c r="A291" s="71"/>
      <c r="B291" s="65" t="s">
        <v>65</v>
      </c>
      <c r="C291" s="80" t="str">
        <f>IFERROR(ROUNDUP(C284/(2*C286*C287),0),"")</f>
        <v/>
      </c>
      <c r="D291" s="66" t="s">
        <v>47</v>
      </c>
      <c r="E291" s="72"/>
    </row>
    <row r="292" spans="1:5">
      <c r="A292" s="71"/>
      <c r="B292" s="65" t="s">
        <v>41</v>
      </c>
      <c r="C292" s="80" t="str">
        <f>IFERROR(VLOOKUP(C283,鋼材の基準強度!C9:P30,10,FALSE),"")</f>
        <v/>
      </c>
      <c r="D292" s="66" t="s">
        <v>47</v>
      </c>
      <c r="E292" s="72"/>
    </row>
    <row r="293" spans="1:5">
      <c r="A293" s="71"/>
      <c r="B293" s="65" t="s">
        <v>49</v>
      </c>
      <c r="C293" s="79" t="str">
        <f>IFERROR(IF(C292&gt;C291,"○","×"),"")</f>
        <v>×</v>
      </c>
      <c r="D293" s="66"/>
      <c r="E293" s="72"/>
    </row>
    <row r="294" spans="1:5" ht="15" thickBot="1">
      <c r="A294" s="73"/>
      <c r="B294" s="74"/>
      <c r="C294" s="74"/>
      <c r="D294" s="74"/>
      <c r="E294" s="76"/>
    </row>
    <row r="295" spans="1:5">
      <c r="A295" s="71"/>
      <c r="B295" s="62"/>
      <c r="C295" s="62"/>
      <c r="D295" s="62"/>
      <c r="E295" s="72"/>
    </row>
    <row r="296" spans="1:5">
      <c r="A296" s="71"/>
      <c r="B296" s="58" t="s">
        <v>39</v>
      </c>
      <c r="C296" s="59"/>
      <c r="D296" s="64"/>
      <c r="E296" s="72"/>
    </row>
    <row r="297" spans="1:5">
      <c r="A297" s="71"/>
      <c r="B297" s="65" t="s">
        <v>78</v>
      </c>
      <c r="C297" s="66"/>
      <c r="D297" s="66" t="s">
        <v>62</v>
      </c>
      <c r="E297" s="72"/>
    </row>
    <row r="298" spans="1:5">
      <c r="A298" s="71"/>
      <c r="B298" s="65" t="s">
        <v>92</v>
      </c>
      <c r="C298" s="66"/>
      <c r="D298" s="66" t="s">
        <v>45</v>
      </c>
      <c r="E298" s="72"/>
    </row>
    <row r="299" spans="1:5">
      <c r="A299" s="71"/>
      <c r="B299" s="65" t="s">
        <v>94</v>
      </c>
      <c r="C299" s="66"/>
      <c r="D299" s="66" t="s">
        <v>45</v>
      </c>
      <c r="E299" s="72"/>
    </row>
    <row r="300" spans="1:5">
      <c r="A300" s="71"/>
      <c r="B300" s="65" t="s">
        <v>95</v>
      </c>
      <c r="C300" s="66"/>
      <c r="D300" s="66" t="s">
        <v>45</v>
      </c>
      <c r="E300" s="72"/>
    </row>
    <row r="301" spans="1:5">
      <c r="A301" s="71"/>
      <c r="B301" s="65" t="s">
        <v>65</v>
      </c>
      <c r="C301" s="80" t="str">
        <f>IFERROR(ROUNDUP((C297*1000)/(2*(C300-C298)*(C299-C298)*C298),0),"")</f>
        <v/>
      </c>
      <c r="D301" s="66" t="s">
        <v>47</v>
      </c>
      <c r="E301" s="72"/>
    </row>
    <row r="302" spans="1:5">
      <c r="A302" s="71"/>
      <c r="B302" s="65" t="s">
        <v>41</v>
      </c>
      <c r="C302" s="80" t="str">
        <f>IFERROR(VLOOKUP(C296,鋼材の基準強度!C9:P30,9,FALSE),"")</f>
        <v/>
      </c>
      <c r="D302" s="66" t="s">
        <v>47</v>
      </c>
      <c r="E302" s="72"/>
    </row>
    <row r="303" spans="1:5">
      <c r="A303" s="71"/>
      <c r="B303" s="65" t="s">
        <v>49</v>
      </c>
      <c r="C303" s="79" t="str">
        <f>IFERROR(IF(C302&gt;C301,"○","×"),"")</f>
        <v>×</v>
      </c>
      <c r="D303" s="66"/>
      <c r="E303" s="72"/>
    </row>
    <row r="304" spans="1:5" ht="15" thickBot="1">
      <c r="A304" s="71"/>
      <c r="B304" s="62"/>
      <c r="C304" s="62"/>
      <c r="D304" s="62"/>
      <c r="E304" s="72"/>
    </row>
    <row r="305" spans="1:5">
      <c r="A305" s="68"/>
      <c r="B305" s="69"/>
      <c r="C305" s="69"/>
      <c r="D305" s="69"/>
      <c r="E305" s="70"/>
    </row>
    <row r="306" spans="1:5">
      <c r="A306" s="71"/>
      <c r="B306" s="58" t="s">
        <v>39</v>
      </c>
      <c r="C306" s="59"/>
      <c r="D306" s="64"/>
      <c r="E306" s="72"/>
    </row>
    <row r="307" spans="1:5">
      <c r="A307" s="71"/>
      <c r="B307" s="65" t="s">
        <v>57</v>
      </c>
      <c r="C307" s="66"/>
      <c r="D307" s="66" t="s">
        <v>43</v>
      </c>
      <c r="E307" s="72"/>
    </row>
    <row r="308" spans="1:5">
      <c r="A308" s="71"/>
      <c r="B308" s="65" t="s">
        <v>69</v>
      </c>
      <c r="C308" s="66"/>
      <c r="D308" s="66" t="s">
        <v>45</v>
      </c>
      <c r="E308" s="72"/>
    </row>
    <row r="309" spans="1:5">
      <c r="A309" s="71"/>
      <c r="B309" s="65" t="s">
        <v>71</v>
      </c>
      <c r="C309" s="66"/>
      <c r="D309" s="66" t="s">
        <v>45</v>
      </c>
      <c r="E309" s="72"/>
    </row>
    <row r="310" spans="1:5">
      <c r="A310" s="71"/>
      <c r="B310" s="65" t="s">
        <v>53</v>
      </c>
      <c r="C310" s="66"/>
      <c r="D310" s="66" t="s">
        <v>45</v>
      </c>
      <c r="E310" s="72"/>
    </row>
    <row r="311" spans="1:5">
      <c r="A311" s="71"/>
      <c r="B311" s="65" t="s">
        <v>76</v>
      </c>
      <c r="C311" s="66"/>
      <c r="D311" s="66" t="s">
        <v>45</v>
      </c>
      <c r="E311" s="72"/>
    </row>
    <row r="312" spans="1:5" ht="28.5">
      <c r="A312" s="71"/>
      <c r="B312" s="67" t="s">
        <v>96</v>
      </c>
      <c r="C312" s="79" t="str">
        <f>IFERROR(ROUNDUP((1.414*C307)/(2*C308*C310+C309*C311),0),"")</f>
        <v/>
      </c>
      <c r="D312" s="83" t="s">
        <v>47</v>
      </c>
      <c r="E312" s="72"/>
    </row>
    <row r="313" spans="1:5">
      <c r="A313" s="71"/>
      <c r="B313" s="65" t="s">
        <v>41</v>
      </c>
      <c r="C313" s="84" t="str">
        <f>IFERROR(VLOOKUP(C306,鋼材の基準強度!C9:P30,7,FALSE),"")</f>
        <v/>
      </c>
      <c r="D313" s="83" t="s">
        <v>47</v>
      </c>
      <c r="E313" s="72"/>
    </row>
    <row r="314" spans="1:5">
      <c r="A314" s="71"/>
      <c r="B314" s="65" t="s">
        <v>49</v>
      </c>
      <c r="C314" s="79" t="str">
        <f>IFERROR(IF(C313&gt;C312,"○","×"),"")</f>
        <v>×</v>
      </c>
      <c r="D314" s="83"/>
      <c r="E314" s="72"/>
    </row>
    <row r="315" spans="1:5" ht="28.5">
      <c r="A315" s="71"/>
      <c r="B315" s="67" t="s">
        <v>97</v>
      </c>
      <c r="C315" s="79" t="str">
        <f>IFERROR(ROUNDUP(C307/(2*C308*C310+C309*C311),0),"")</f>
        <v/>
      </c>
      <c r="D315" s="83" t="s">
        <v>47</v>
      </c>
      <c r="E315" s="72"/>
    </row>
    <row r="316" spans="1:5">
      <c r="A316" s="71"/>
      <c r="B316" s="65" t="s">
        <v>41</v>
      </c>
      <c r="C316" s="84" t="str">
        <f>IFERROR(VLOOKUP(C306,鋼材の基準強度!C9:P30,9,FALSE),"")</f>
        <v/>
      </c>
      <c r="D316" s="83" t="s">
        <v>47</v>
      </c>
      <c r="E316" s="72"/>
    </row>
    <row r="317" spans="1:5">
      <c r="A317" s="71"/>
      <c r="B317" s="65" t="s">
        <v>49</v>
      </c>
      <c r="C317" s="79" t="str">
        <f>IFERROR(IF(C316&gt;C315,"○","×"),"")</f>
        <v>×</v>
      </c>
      <c r="D317" s="83"/>
      <c r="E317" s="72"/>
    </row>
    <row r="318" spans="1:5" ht="15" thickBot="1">
      <c r="A318" s="73"/>
      <c r="B318" s="74"/>
      <c r="C318" s="74"/>
      <c r="D318" s="74"/>
      <c r="E318" s="76"/>
    </row>
  </sheetData>
  <phoneticPr fontId="5"/>
  <pageMargins left="0.39370078740157483" right="0.39370078740157483" top="0.78740157480314965" bottom="0.39370078740157483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4CB3099-ABA9-7C4D-88CC-A9302C72BAEF}">
          <x14:formula1>
            <xm:f>鋼材の基準強度!$C$6:$C$27</xm:f>
          </x14:formula1>
          <xm:sqref>C2 C11 C21 C30 C39 C52 C61 C71 C81 C91 C105 C114 C124 C133 C142 C155 C164 C174 C183 C192 C202 C211 C221 C230 C243 C252 C265 C274 C283 C296 C306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66D6-3424-46D9-80BA-75CEB3FE10D9}">
  <dimension ref="B1:T29"/>
  <sheetViews>
    <sheetView workbookViewId="0"/>
  </sheetViews>
  <sheetFormatPr defaultColWidth="8.85546875" defaultRowHeight="12.75"/>
  <cols>
    <col min="2" max="2" width="5.42578125" bestFit="1" customWidth="1"/>
    <col min="3" max="3" width="9.42578125" bestFit="1" customWidth="1"/>
    <col min="4" max="4" width="8.85546875" bestFit="1" customWidth="1"/>
    <col min="5" max="5" width="18.42578125" bestFit="1" customWidth="1"/>
    <col min="6" max="6" width="10.42578125" bestFit="1" customWidth="1"/>
    <col min="7" max="7" width="18.42578125" bestFit="1" customWidth="1"/>
    <col min="8" max="8" width="7.140625" bestFit="1" customWidth="1"/>
    <col min="9" max="9" width="18.42578125" bestFit="1" customWidth="1"/>
    <col min="10" max="10" width="7.140625" bestFit="1" customWidth="1"/>
    <col min="11" max="11" width="18.42578125" bestFit="1" customWidth="1"/>
    <col min="12" max="12" width="7.140625" bestFit="1" customWidth="1"/>
    <col min="13" max="13" width="18.42578125" bestFit="1" customWidth="1"/>
    <col min="14" max="14" width="7.140625" bestFit="1" customWidth="1"/>
    <col min="15" max="15" width="18.42578125" bestFit="1" customWidth="1"/>
    <col min="16" max="16" width="7.140625" bestFit="1" customWidth="1"/>
  </cols>
  <sheetData>
    <row r="1" spans="2:20" ht="13.5" thickBot="1"/>
    <row r="2" spans="2:20" ht="12.75" customHeight="1" thickTop="1">
      <c r="B2" s="56" t="s">
        <v>0</v>
      </c>
      <c r="C2" s="49"/>
      <c r="D2" s="54" t="s">
        <v>31</v>
      </c>
      <c r="E2" s="48" t="s">
        <v>38</v>
      </c>
      <c r="F2" s="49"/>
      <c r="G2" s="49"/>
      <c r="H2" s="50"/>
      <c r="I2" s="45" t="s">
        <v>30</v>
      </c>
      <c r="J2" s="46"/>
      <c r="K2" s="46"/>
      <c r="L2" s="46"/>
      <c r="M2" s="46"/>
      <c r="N2" s="46"/>
      <c r="O2" s="46"/>
      <c r="P2" s="47"/>
    </row>
    <row r="3" spans="2:20">
      <c r="B3" s="57"/>
      <c r="C3" s="52"/>
      <c r="D3" s="55"/>
      <c r="E3" s="51"/>
      <c r="F3" s="52"/>
      <c r="G3" s="52"/>
      <c r="H3" s="53"/>
      <c r="I3" s="28" t="s">
        <v>27</v>
      </c>
      <c r="J3" s="29"/>
      <c r="K3" s="29"/>
      <c r="L3" s="30"/>
      <c r="M3" s="36" t="s">
        <v>28</v>
      </c>
      <c r="N3" s="29"/>
      <c r="O3" s="29"/>
      <c r="P3" s="37"/>
      <c r="S3" s="26"/>
      <c r="T3" s="27"/>
    </row>
    <row r="4" spans="2:20" ht="28.5" customHeight="1">
      <c r="B4" s="57"/>
      <c r="C4" s="52"/>
      <c r="D4" s="55"/>
      <c r="E4" s="40" t="s">
        <v>27</v>
      </c>
      <c r="F4" s="41"/>
      <c r="G4" s="38" t="s">
        <v>34</v>
      </c>
      <c r="H4" s="42"/>
      <c r="I4" s="31" t="s">
        <v>35</v>
      </c>
      <c r="J4" s="32"/>
      <c r="K4" s="34" t="s">
        <v>36</v>
      </c>
      <c r="L4" s="35"/>
      <c r="M4" s="38" t="s">
        <v>35</v>
      </c>
      <c r="N4" s="32"/>
      <c r="O4" s="34" t="s">
        <v>36</v>
      </c>
      <c r="P4" s="39"/>
      <c r="S4" s="1"/>
      <c r="T4" s="1"/>
    </row>
    <row r="5" spans="2:20" ht="24">
      <c r="B5" s="57"/>
      <c r="C5" s="52"/>
      <c r="D5" s="55"/>
      <c r="E5" s="19" t="s">
        <v>32</v>
      </c>
      <c r="F5" s="23" t="s">
        <v>33</v>
      </c>
      <c r="G5" s="24" t="s">
        <v>29</v>
      </c>
      <c r="H5" s="25" t="s">
        <v>26</v>
      </c>
      <c r="I5" s="18" t="s">
        <v>29</v>
      </c>
      <c r="J5" s="20" t="s">
        <v>26</v>
      </c>
      <c r="K5" s="20" t="s">
        <v>29</v>
      </c>
      <c r="L5" s="21" t="s">
        <v>26</v>
      </c>
      <c r="M5" s="24" t="s">
        <v>29</v>
      </c>
      <c r="N5" s="20" t="s">
        <v>26</v>
      </c>
      <c r="O5" s="20" t="s">
        <v>29</v>
      </c>
      <c r="P5" s="22" t="s">
        <v>26</v>
      </c>
    </row>
    <row r="6" spans="2:20">
      <c r="B6" s="43" t="s">
        <v>1</v>
      </c>
      <c r="C6" s="2" t="s">
        <v>2</v>
      </c>
      <c r="D6" s="4">
        <v>235</v>
      </c>
      <c r="E6" s="6">
        <f>ROUNDDOWN(D6/1.5,0)</f>
        <v>156</v>
      </c>
      <c r="F6" s="8">
        <f>ROUNDDOWN(D6/(1.5*SQRT(3)),0)</f>
        <v>90</v>
      </c>
      <c r="G6" s="12">
        <f>E6*1.5</f>
        <v>234</v>
      </c>
      <c r="H6" s="16">
        <f>F6*1.5</f>
        <v>135</v>
      </c>
      <c r="I6" s="6">
        <f>ROUNDDOWN(E6*0.9,0)</f>
        <v>140</v>
      </c>
      <c r="J6" s="7">
        <f>ROUNDDOWN(F6*0.9,0)</f>
        <v>81</v>
      </c>
      <c r="K6" s="7">
        <f>ROUNDDOWN(I6*0.6,0)</f>
        <v>84</v>
      </c>
      <c r="L6" s="8">
        <f>ROUNDDOWN(J6*0.6,0)</f>
        <v>48</v>
      </c>
      <c r="M6" s="12">
        <f>ROUNDDOWN(G6*0.9,0)</f>
        <v>210</v>
      </c>
      <c r="N6" s="7">
        <f>ROUNDDOWN(H6*0.9,0)</f>
        <v>121</v>
      </c>
      <c r="O6" s="7">
        <f>ROUNDDOWN(M6*0.6,0)</f>
        <v>126</v>
      </c>
      <c r="P6" s="13">
        <f>ROUNDDOWN(N6*0.6,0)</f>
        <v>72</v>
      </c>
    </row>
    <row r="7" spans="2:20">
      <c r="B7" s="43"/>
      <c r="C7" s="2" t="s">
        <v>3</v>
      </c>
      <c r="D7" s="4">
        <v>235</v>
      </c>
      <c r="E7" s="6">
        <f t="shared" ref="E7:E27" si="0">ROUNDDOWN(D7/1.5,0)</f>
        <v>156</v>
      </c>
      <c r="F7" s="8">
        <f t="shared" ref="F7:F27" si="1">ROUNDDOWN(D7/(1.5*SQRT(3)),0)</f>
        <v>90</v>
      </c>
      <c r="G7" s="12">
        <f t="shared" ref="G7:G27" si="2">E7*1.5</f>
        <v>234</v>
      </c>
      <c r="H7" s="16">
        <f t="shared" ref="H7:H27" si="3">F7*1.5</f>
        <v>135</v>
      </c>
      <c r="I7" s="6">
        <f t="shared" ref="I7:I27" si="4">ROUNDDOWN(E7*0.9,0)</f>
        <v>140</v>
      </c>
      <c r="J7" s="7">
        <f t="shared" ref="J7:J27" si="5">ROUNDDOWN(F7*0.9,0)</f>
        <v>81</v>
      </c>
      <c r="K7" s="7">
        <f t="shared" ref="K7:K27" si="6">ROUNDDOWN(I7*0.6,0)</f>
        <v>84</v>
      </c>
      <c r="L7" s="8">
        <f t="shared" ref="L7:L27" si="7">ROUNDDOWN(J7*0.6,0)</f>
        <v>48</v>
      </c>
      <c r="M7" s="12">
        <f t="shared" ref="M7:M27" si="8">ROUNDDOWN(G7*0.9,0)</f>
        <v>210</v>
      </c>
      <c r="N7" s="7">
        <f t="shared" ref="N7:N27" si="9">ROUNDDOWN(H7*0.9,0)</f>
        <v>121</v>
      </c>
      <c r="O7" s="7">
        <f t="shared" ref="O7:O27" si="10">ROUNDDOWN(M7*0.6,0)</f>
        <v>126</v>
      </c>
      <c r="P7" s="13">
        <f t="shared" ref="P7:P27" si="11">ROUNDDOWN(N7*0.6,0)</f>
        <v>72</v>
      </c>
    </row>
    <row r="8" spans="2:20">
      <c r="B8" s="43"/>
      <c r="C8" s="2" t="s">
        <v>4</v>
      </c>
      <c r="D8" s="4">
        <v>235</v>
      </c>
      <c r="E8" s="6">
        <f t="shared" si="0"/>
        <v>156</v>
      </c>
      <c r="F8" s="8">
        <f t="shared" si="1"/>
        <v>90</v>
      </c>
      <c r="G8" s="12">
        <f t="shared" si="2"/>
        <v>234</v>
      </c>
      <c r="H8" s="16">
        <f t="shared" si="3"/>
        <v>135</v>
      </c>
      <c r="I8" s="6">
        <f t="shared" si="4"/>
        <v>140</v>
      </c>
      <c r="J8" s="7">
        <f t="shared" si="5"/>
        <v>81</v>
      </c>
      <c r="K8" s="7">
        <f t="shared" si="6"/>
        <v>84</v>
      </c>
      <c r="L8" s="8">
        <f t="shared" si="7"/>
        <v>48</v>
      </c>
      <c r="M8" s="12">
        <f t="shared" si="8"/>
        <v>210</v>
      </c>
      <c r="N8" s="7">
        <f t="shared" si="9"/>
        <v>121</v>
      </c>
      <c r="O8" s="7">
        <f t="shared" si="10"/>
        <v>126</v>
      </c>
      <c r="P8" s="13">
        <f t="shared" si="11"/>
        <v>72</v>
      </c>
    </row>
    <row r="9" spans="2:20">
      <c r="B9" s="43"/>
      <c r="C9" s="2" t="s">
        <v>5</v>
      </c>
      <c r="D9" s="4">
        <v>325</v>
      </c>
      <c r="E9" s="6">
        <f t="shared" si="0"/>
        <v>216</v>
      </c>
      <c r="F9" s="8">
        <f t="shared" si="1"/>
        <v>125</v>
      </c>
      <c r="G9" s="12">
        <f t="shared" si="2"/>
        <v>324</v>
      </c>
      <c r="H9" s="16">
        <f t="shared" si="3"/>
        <v>187.5</v>
      </c>
      <c r="I9" s="6">
        <f t="shared" si="4"/>
        <v>194</v>
      </c>
      <c r="J9" s="7">
        <f t="shared" si="5"/>
        <v>112</v>
      </c>
      <c r="K9" s="7">
        <f t="shared" si="6"/>
        <v>116</v>
      </c>
      <c r="L9" s="8">
        <f t="shared" si="7"/>
        <v>67</v>
      </c>
      <c r="M9" s="12">
        <f t="shared" si="8"/>
        <v>291</v>
      </c>
      <c r="N9" s="7">
        <f t="shared" si="9"/>
        <v>168</v>
      </c>
      <c r="O9" s="7">
        <f t="shared" si="10"/>
        <v>174</v>
      </c>
      <c r="P9" s="13">
        <f t="shared" si="11"/>
        <v>100</v>
      </c>
    </row>
    <row r="10" spans="2:20">
      <c r="B10" s="43"/>
      <c r="C10" s="2" t="s">
        <v>6</v>
      </c>
      <c r="D10" s="4">
        <v>325</v>
      </c>
      <c r="E10" s="6">
        <f t="shared" si="0"/>
        <v>216</v>
      </c>
      <c r="F10" s="8">
        <f t="shared" si="1"/>
        <v>125</v>
      </c>
      <c r="G10" s="12">
        <f t="shared" si="2"/>
        <v>324</v>
      </c>
      <c r="H10" s="16">
        <f t="shared" si="3"/>
        <v>187.5</v>
      </c>
      <c r="I10" s="6">
        <f t="shared" si="4"/>
        <v>194</v>
      </c>
      <c r="J10" s="7">
        <f t="shared" si="5"/>
        <v>112</v>
      </c>
      <c r="K10" s="7">
        <f t="shared" si="6"/>
        <v>116</v>
      </c>
      <c r="L10" s="8">
        <f t="shared" si="7"/>
        <v>67</v>
      </c>
      <c r="M10" s="12">
        <f t="shared" si="8"/>
        <v>291</v>
      </c>
      <c r="N10" s="7">
        <f t="shared" si="9"/>
        <v>168</v>
      </c>
      <c r="O10" s="7">
        <f t="shared" si="10"/>
        <v>174</v>
      </c>
      <c r="P10" s="13">
        <f t="shared" si="11"/>
        <v>100</v>
      </c>
    </row>
    <row r="11" spans="2:20">
      <c r="B11" s="43"/>
      <c r="C11" s="2" t="s">
        <v>7</v>
      </c>
      <c r="D11" s="4">
        <v>325</v>
      </c>
      <c r="E11" s="6">
        <f t="shared" si="0"/>
        <v>216</v>
      </c>
      <c r="F11" s="8">
        <f t="shared" si="1"/>
        <v>125</v>
      </c>
      <c r="G11" s="12">
        <f t="shared" si="2"/>
        <v>324</v>
      </c>
      <c r="H11" s="16">
        <f t="shared" si="3"/>
        <v>187.5</v>
      </c>
      <c r="I11" s="6">
        <f t="shared" si="4"/>
        <v>194</v>
      </c>
      <c r="J11" s="7">
        <f t="shared" si="5"/>
        <v>112</v>
      </c>
      <c r="K11" s="7">
        <f t="shared" si="6"/>
        <v>116</v>
      </c>
      <c r="L11" s="8">
        <f t="shared" si="7"/>
        <v>67</v>
      </c>
      <c r="M11" s="12">
        <f t="shared" si="8"/>
        <v>291</v>
      </c>
      <c r="N11" s="7">
        <f t="shared" si="9"/>
        <v>168</v>
      </c>
      <c r="O11" s="7">
        <f t="shared" si="10"/>
        <v>174</v>
      </c>
      <c r="P11" s="13">
        <f t="shared" si="11"/>
        <v>100</v>
      </c>
    </row>
    <row r="12" spans="2:20">
      <c r="B12" s="43" t="s">
        <v>8</v>
      </c>
      <c r="C12" s="2" t="s">
        <v>9</v>
      </c>
      <c r="D12" s="4">
        <v>235</v>
      </c>
      <c r="E12" s="6">
        <f t="shared" si="0"/>
        <v>156</v>
      </c>
      <c r="F12" s="8">
        <f t="shared" si="1"/>
        <v>90</v>
      </c>
      <c r="G12" s="12">
        <f t="shared" si="2"/>
        <v>234</v>
      </c>
      <c r="H12" s="16">
        <f t="shared" si="3"/>
        <v>135</v>
      </c>
      <c r="I12" s="6">
        <f t="shared" si="4"/>
        <v>140</v>
      </c>
      <c r="J12" s="7">
        <f t="shared" si="5"/>
        <v>81</v>
      </c>
      <c r="K12" s="7">
        <f t="shared" si="6"/>
        <v>84</v>
      </c>
      <c r="L12" s="8">
        <f t="shared" si="7"/>
        <v>48</v>
      </c>
      <c r="M12" s="12">
        <f t="shared" si="8"/>
        <v>210</v>
      </c>
      <c r="N12" s="7">
        <f t="shared" si="9"/>
        <v>121</v>
      </c>
      <c r="O12" s="7">
        <f t="shared" si="10"/>
        <v>126</v>
      </c>
      <c r="P12" s="13">
        <f t="shared" si="11"/>
        <v>72</v>
      </c>
    </row>
    <row r="13" spans="2:20">
      <c r="B13" s="43"/>
      <c r="C13" s="2" t="s">
        <v>10</v>
      </c>
      <c r="D13" s="4">
        <v>235</v>
      </c>
      <c r="E13" s="6">
        <f t="shared" si="0"/>
        <v>156</v>
      </c>
      <c r="F13" s="8">
        <f t="shared" si="1"/>
        <v>90</v>
      </c>
      <c r="G13" s="12">
        <f t="shared" si="2"/>
        <v>234</v>
      </c>
      <c r="H13" s="16">
        <f t="shared" si="3"/>
        <v>135</v>
      </c>
      <c r="I13" s="6">
        <f t="shared" si="4"/>
        <v>140</v>
      </c>
      <c r="J13" s="7">
        <f t="shared" si="5"/>
        <v>81</v>
      </c>
      <c r="K13" s="7">
        <f t="shared" si="6"/>
        <v>84</v>
      </c>
      <c r="L13" s="8">
        <f t="shared" si="7"/>
        <v>48</v>
      </c>
      <c r="M13" s="12">
        <f t="shared" si="8"/>
        <v>210</v>
      </c>
      <c r="N13" s="7">
        <f t="shared" si="9"/>
        <v>121</v>
      </c>
      <c r="O13" s="7">
        <f t="shared" si="10"/>
        <v>126</v>
      </c>
      <c r="P13" s="13">
        <f t="shared" si="11"/>
        <v>72</v>
      </c>
    </row>
    <row r="14" spans="2:20">
      <c r="B14" s="43"/>
      <c r="C14" s="2" t="s">
        <v>11</v>
      </c>
      <c r="D14" s="4">
        <v>235</v>
      </c>
      <c r="E14" s="6">
        <f t="shared" si="0"/>
        <v>156</v>
      </c>
      <c r="F14" s="8">
        <f t="shared" si="1"/>
        <v>90</v>
      </c>
      <c r="G14" s="12">
        <f t="shared" si="2"/>
        <v>234</v>
      </c>
      <c r="H14" s="16">
        <f t="shared" si="3"/>
        <v>135</v>
      </c>
      <c r="I14" s="6">
        <f t="shared" si="4"/>
        <v>140</v>
      </c>
      <c r="J14" s="7">
        <f t="shared" si="5"/>
        <v>81</v>
      </c>
      <c r="K14" s="7">
        <f t="shared" si="6"/>
        <v>84</v>
      </c>
      <c r="L14" s="8">
        <f t="shared" si="7"/>
        <v>48</v>
      </c>
      <c r="M14" s="12">
        <f t="shared" si="8"/>
        <v>210</v>
      </c>
      <c r="N14" s="7">
        <f t="shared" si="9"/>
        <v>121</v>
      </c>
      <c r="O14" s="7">
        <f t="shared" si="10"/>
        <v>126</v>
      </c>
      <c r="P14" s="13">
        <f t="shared" si="11"/>
        <v>72</v>
      </c>
    </row>
    <row r="15" spans="2:20">
      <c r="B15" s="43"/>
      <c r="C15" s="2" t="s">
        <v>12</v>
      </c>
      <c r="D15" s="4">
        <v>235</v>
      </c>
      <c r="E15" s="6">
        <f t="shared" si="0"/>
        <v>156</v>
      </c>
      <c r="F15" s="8">
        <f t="shared" si="1"/>
        <v>90</v>
      </c>
      <c r="G15" s="12">
        <f t="shared" si="2"/>
        <v>234</v>
      </c>
      <c r="H15" s="16">
        <f t="shared" si="3"/>
        <v>135</v>
      </c>
      <c r="I15" s="6">
        <f t="shared" si="4"/>
        <v>140</v>
      </c>
      <c r="J15" s="7">
        <f t="shared" si="5"/>
        <v>81</v>
      </c>
      <c r="K15" s="7">
        <f t="shared" si="6"/>
        <v>84</v>
      </c>
      <c r="L15" s="8">
        <f t="shared" si="7"/>
        <v>48</v>
      </c>
      <c r="M15" s="12">
        <f t="shared" si="8"/>
        <v>210</v>
      </c>
      <c r="N15" s="7">
        <f t="shared" si="9"/>
        <v>121</v>
      </c>
      <c r="O15" s="7">
        <f t="shared" si="10"/>
        <v>126</v>
      </c>
      <c r="P15" s="13">
        <f t="shared" si="11"/>
        <v>72</v>
      </c>
    </row>
    <row r="16" spans="2:20">
      <c r="B16" s="43"/>
      <c r="C16" s="2" t="s">
        <v>13</v>
      </c>
      <c r="D16" s="4">
        <v>235</v>
      </c>
      <c r="E16" s="6">
        <f t="shared" si="0"/>
        <v>156</v>
      </c>
      <c r="F16" s="8">
        <f t="shared" si="1"/>
        <v>90</v>
      </c>
      <c r="G16" s="12">
        <f t="shared" si="2"/>
        <v>234</v>
      </c>
      <c r="H16" s="16">
        <f t="shared" si="3"/>
        <v>135</v>
      </c>
      <c r="I16" s="6">
        <f t="shared" si="4"/>
        <v>140</v>
      </c>
      <c r="J16" s="7">
        <f t="shared" si="5"/>
        <v>81</v>
      </c>
      <c r="K16" s="7">
        <f t="shared" si="6"/>
        <v>84</v>
      </c>
      <c r="L16" s="8">
        <f t="shared" si="7"/>
        <v>48</v>
      </c>
      <c r="M16" s="12">
        <f t="shared" si="8"/>
        <v>210</v>
      </c>
      <c r="N16" s="7">
        <f t="shared" si="9"/>
        <v>121</v>
      </c>
      <c r="O16" s="7">
        <f t="shared" si="10"/>
        <v>126</v>
      </c>
      <c r="P16" s="13">
        <f t="shared" si="11"/>
        <v>72</v>
      </c>
    </row>
    <row r="17" spans="2:16">
      <c r="B17" s="43"/>
      <c r="C17" s="2" t="s">
        <v>14</v>
      </c>
      <c r="D17" s="4">
        <v>275</v>
      </c>
      <c r="E17" s="6">
        <f t="shared" si="0"/>
        <v>183</v>
      </c>
      <c r="F17" s="8">
        <f t="shared" si="1"/>
        <v>105</v>
      </c>
      <c r="G17" s="12">
        <f t="shared" si="2"/>
        <v>274.5</v>
      </c>
      <c r="H17" s="16">
        <f t="shared" si="3"/>
        <v>157.5</v>
      </c>
      <c r="I17" s="6">
        <f t="shared" si="4"/>
        <v>164</v>
      </c>
      <c r="J17" s="7">
        <f t="shared" si="5"/>
        <v>94</v>
      </c>
      <c r="K17" s="7">
        <f t="shared" si="6"/>
        <v>98</v>
      </c>
      <c r="L17" s="8">
        <f t="shared" si="7"/>
        <v>56</v>
      </c>
      <c r="M17" s="12">
        <f t="shared" si="8"/>
        <v>247</v>
      </c>
      <c r="N17" s="7">
        <f t="shared" si="9"/>
        <v>141</v>
      </c>
      <c r="O17" s="7">
        <f t="shared" si="10"/>
        <v>148</v>
      </c>
      <c r="P17" s="13">
        <f t="shared" si="11"/>
        <v>84</v>
      </c>
    </row>
    <row r="18" spans="2:16">
      <c r="B18" s="43"/>
      <c r="C18" s="2" t="s">
        <v>15</v>
      </c>
      <c r="D18" s="4">
        <v>375</v>
      </c>
      <c r="E18" s="6">
        <f t="shared" si="0"/>
        <v>250</v>
      </c>
      <c r="F18" s="8">
        <f t="shared" si="1"/>
        <v>144</v>
      </c>
      <c r="G18" s="12">
        <f t="shared" si="2"/>
        <v>375</v>
      </c>
      <c r="H18" s="16">
        <f t="shared" si="3"/>
        <v>216</v>
      </c>
      <c r="I18" s="6">
        <f t="shared" si="4"/>
        <v>225</v>
      </c>
      <c r="J18" s="7">
        <f t="shared" si="5"/>
        <v>129</v>
      </c>
      <c r="K18" s="7">
        <f t="shared" si="6"/>
        <v>135</v>
      </c>
      <c r="L18" s="8">
        <f t="shared" si="7"/>
        <v>77</v>
      </c>
      <c r="M18" s="12">
        <f t="shared" si="8"/>
        <v>337</v>
      </c>
      <c r="N18" s="7">
        <f t="shared" si="9"/>
        <v>194</v>
      </c>
      <c r="O18" s="7">
        <f t="shared" si="10"/>
        <v>202</v>
      </c>
      <c r="P18" s="13">
        <f t="shared" si="11"/>
        <v>116</v>
      </c>
    </row>
    <row r="19" spans="2:16">
      <c r="B19" s="43" t="s">
        <v>16</v>
      </c>
      <c r="C19" s="2" t="s">
        <v>17</v>
      </c>
      <c r="D19" s="4">
        <v>235</v>
      </c>
      <c r="E19" s="6">
        <f t="shared" si="0"/>
        <v>156</v>
      </c>
      <c r="F19" s="8">
        <f t="shared" si="1"/>
        <v>90</v>
      </c>
      <c r="G19" s="12">
        <f t="shared" si="2"/>
        <v>234</v>
      </c>
      <c r="H19" s="16">
        <f t="shared" si="3"/>
        <v>135</v>
      </c>
      <c r="I19" s="6">
        <f t="shared" si="4"/>
        <v>140</v>
      </c>
      <c r="J19" s="7">
        <f t="shared" si="5"/>
        <v>81</v>
      </c>
      <c r="K19" s="7">
        <f t="shared" si="6"/>
        <v>84</v>
      </c>
      <c r="L19" s="8">
        <f t="shared" si="7"/>
        <v>48</v>
      </c>
      <c r="M19" s="12">
        <f t="shared" si="8"/>
        <v>210</v>
      </c>
      <c r="N19" s="7">
        <f t="shared" si="9"/>
        <v>121</v>
      </c>
      <c r="O19" s="7">
        <f t="shared" si="10"/>
        <v>126</v>
      </c>
      <c r="P19" s="13">
        <f t="shared" si="11"/>
        <v>72</v>
      </c>
    </row>
    <row r="20" spans="2:16">
      <c r="B20" s="43"/>
      <c r="C20" s="2" t="s">
        <v>18</v>
      </c>
      <c r="D20" s="4">
        <v>235</v>
      </c>
      <c r="E20" s="6">
        <f t="shared" si="0"/>
        <v>156</v>
      </c>
      <c r="F20" s="8">
        <f t="shared" si="1"/>
        <v>90</v>
      </c>
      <c r="G20" s="12">
        <f t="shared" si="2"/>
        <v>234</v>
      </c>
      <c r="H20" s="16">
        <f t="shared" si="3"/>
        <v>135</v>
      </c>
      <c r="I20" s="6">
        <f t="shared" si="4"/>
        <v>140</v>
      </c>
      <c r="J20" s="7">
        <f t="shared" si="5"/>
        <v>81</v>
      </c>
      <c r="K20" s="7">
        <f t="shared" si="6"/>
        <v>84</v>
      </c>
      <c r="L20" s="8">
        <f t="shared" si="7"/>
        <v>48</v>
      </c>
      <c r="M20" s="12">
        <f t="shared" si="8"/>
        <v>210</v>
      </c>
      <c r="N20" s="7">
        <f t="shared" si="9"/>
        <v>121</v>
      </c>
      <c r="O20" s="7">
        <f t="shared" si="10"/>
        <v>126</v>
      </c>
      <c r="P20" s="13">
        <f t="shared" si="11"/>
        <v>72</v>
      </c>
    </row>
    <row r="21" spans="2:16">
      <c r="B21" s="43"/>
      <c r="C21" s="2" t="s">
        <v>19</v>
      </c>
      <c r="D21" s="4">
        <v>325</v>
      </c>
      <c r="E21" s="6">
        <f t="shared" si="0"/>
        <v>216</v>
      </c>
      <c r="F21" s="8">
        <f t="shared" si="1"/>
        <v>125</v>
      </c>
      <c r="G21" s="12">
        <f t="shared" si="2"/>
        <v>324</v>
      </c>
      <c r="H21" s="16">
        <f t="shared" si="3"/>
        <v>187.5</v>
      </c>
      <c r="I21" s="6">
        <f t="shared" si="4"/>
        <v>194</v>
      </c>
      <c r="J21" s="7">
        <f t="shared" si="5"/>
        <v>112</v>
      </c>
      <c r="K21" s="7">
        <f t="shared" si="6"/>
        <v>116</v>
      </c>
      <c r="L21" s="8">
        <f t="shared" si="7"/>
        <v>67</v>
      </c>
      <c r="M21" s="12">
        <f t="shared" si="8"/>
        <v>291</v>
      </c>
      <c r="N21" s="7">
        <f t="shared" si="9"/>
        <v>168</v>
      </c>
      <c r="O21" s="7">
        <f t="shared" si="10"/>
        <v>174</v>
      </c>
      <c r="P21" s="13">
        <f t="shared" si="11"/>
        <v>100</v>
      </c>
    </row>
    <row r="22" spans="2:16">
      <c r="B22" s="43"/>
      <c r="C22" s="2" t="s">
        <v>20</v>
      </c>
      <c r="D22" s="4">
        <v>325</v>
      </c>
      <c r="E22" s="6">
        <f t="shared" si="0"/>
        <v>216</v>
      </c>
      <c r="F22" s="8">
        <f t="shared" si="1"/>
        <v>125</v>
      </c>
      <c r="G22" s="12">
        <f t="shared" si="2"/>
        <v>324</v>
      </c>
      <c r="H22" s="16">
        <f t="shared" si="3"/>
        <v>187.5</v>
      </c>
      <c r="I22" s="6">
        <f t="shared" si="4"/>
        <v>194</v>
      </c>
      <c r="J22" s="7">
        <f t="shared" si="5"/>
        <v>112</v>
      </c>
      <c r="K22" s="7">
        <f t="shared" si="6"/>
        <v>116</v>
      </c>
      <c r="L22" s="8">
        <f t="shared" si="7"/>
        <v>67</v>
      </c>
      <c r="M22" s="12">
        <f t="shared" si="8"/>
        <v>291</v>
      </c>
      <c r="N22" s="7">
        <f t="shared" si="9"/>
        <v>168</v>
      </c>
      <c r="O22" s="7">
        <f t="shared" si="10"/>
        <v>174</v>
      </c>
      <c r="P22" s="13">
        <f t="shared" si="11"/>
        <v>100</v>
      </c>
    </row>
    <row r="23" spans="2:16">
      <c r="B23" s="43"/>
      <c r="C23" s="2" t="s">
        <v>21</v>
      </c>
      <c r="D23" s="4">
        <v>325</v>
      </c>
      <c r="E23" s="6">
        <f t="shared" si="0"/>
        <v>216</v>
      </c>
      <c r="F23" s="8">
        <f t="shared" si="1"/>
        <v>125</v>
      </c>
      <c r="G23" s="12">
        <f t="shared" si="2"/>
        <v>324</v>
      </c>
      <c r="H23" s="16">
        <f t="shared" si="3"/>
        <v>187.5</v>
      </c>
      <c r="I23" s="6">
        <f t="shared" si="4"/>
        <v>194</v>
      </c>
      <c r="J23" s="7">
        <f t="shared" si="5"/>
        <v>112</v>
      </c>
      <c r="K23" s="7">
        <f t="shared" si="6"/>
        <v>116</v>
      </c>
      <c r="L23" s="8">
        <f t="shared" si="7"/>
        <v>67</v>
      </c>
      <c r="M23" s="12">
        <f t="shared" si="8"/>
        <v>291</v>
      </c>
      <c r="N23" s="7">
        <f t="shared" si="9"/>
        <v>168</v>
      </c>
      <c r="O23" s="7">
        <f t="shared" si="10"/>
        <v>174</v>
      </c>
      <c r="P23" s="13">
        <f t="shared" si="11"/>
        <v>100</v>
      </c>
    </row>
    <row r="24" spans="2:16">
      <c r="B24" s="43"/>
      <c r="C24" s="2" t="s">
        <v>22</v>
      </c>
      <c r="D24" s="4">
        <v>325</v>
      </c>
      <c r="E24" s="6">
        <f t="shared" si="0"/>
        <v>216</v>
      </c>
      <c r="F24" s="8">
        <f t="shared" si="1"/>
        <v>125</v>
      </c>
      <c r="G24" s="12">
        <f t="shared" si="2"/>
        <v>324</v>
      </c>
      <c r="H24" s="16">
        <f t="shared" si="3"/>
        <v>187.5</v>
      </c>
      <c r="I24" s="6">
        <f t="shared" si="4"/>
        <v>194</v>
      </c>
      <c r="J24" s="7">
        <f t="shared" si="5"/>
        <v>112</v>
      </c>
      <c r="K24" s="7">
        <f t="shared" si="6"/>
        <v>116</v>
      </c>
      <c r="L24" s="8">
        <f t="shared" si="7"/>
        <v>67</v>
      </c>
      <c r="M24" s="12">
        <f t="shared" si="8"/>
        <v>291</v>
      </c>
      <c r="N24" s="7">
        <f t="shared" si="9"/>
        <v>168</v>
      </c>
      <c r="O24" s="7">
        <f t="shared" si="10"/>
        <v>174</v>
      </c>
      <c r="P24" s="13">
        <f t="shared" si="11"/>
        <v>100</v>
      </c>
    </row>
    <row r="25" spans="2:16">
      <c r="B25" s="43"/>
      <c r="C25" s="2" t="s">
        <v>23</v>
      </c>
      <c r="D25" s="4">
        <v>325</v>
      </c>
      <c r="E25" s="6">
        <f t="shared" si="0"/>
        <v>216</v>
      </c>
      <c r="F25" s="8">
        <f t="shared" si="1"/>
        <v>125</v>
      </c>
      <c r="G25" s="12">
        <f t="shared" si="2"/>
        <v>324</v>
      </c>
      <c r="H25" s="16">
        <f t="shared" si="3"/>
        <v>187.5</v>
      </c>
      <c r="I25" s="6">
        <f t="shared" si="4"/>
        <v>194</v>
      </c>
      <c r="J25" s="7">
        <f t="shared" si="5"/>
        <v>112</v>
      </c>
      <c r="K25" s="7">
        <f t="shared" si="6"/>
        <v>116</v>
      </c>
      <c r="L25" s="8">
        <f t="shared" si="7"/>
        <v>67</v>
      </c>
      <c r="M25" s="12">
        <f t="shared" si="8"/>
        <v>291</v>
      </c>
      <c r="N25" s="7">
        <f t="shared" si="9"/>
        <v>168</v>
      </c>
      <c r="O25" s="7">
        <f t="shared" si="10"/>
        <v>174</v>
      </c>
      <c r="P25" s="13">
        <f t="shared" si="11"/>
        <v>100</v>
      </c>
    </row>
    <row r="26" spans="2:16">
      <c r="B26" s="43"/>
      <c r="C26" s="2" t="s">
        <v>24</v>
      </c>
      <c r="D26" s="4">
        <v>355</v>
      </c>
      <c r="E26" s="6">
        <f t="shared" si="0"/>
        <v>236</v>
      </c>
      <c r="F26" s="8">
        <f t="shared" si="1"/>
        <v>136</v>
      </c>
      <c r="G26" s="12">
        <f t="shared" si="2"/>
        <v>354</v>
      </c>
      <c r="H26" s="16">
        <f t="shared" si="3"/>
        <v>204</v>
      </c>
      <c r="I26" s="6">
        <f t="shared" si="4"/>
        <v>212</v>
      </c>
      <c r="J26" s="7">
        <f t="shared" si="5"/>
        <v>122</v>
      </c>
      <c r="K26" s="7">
        <f t="shared" si="6"/>
        <v>127</v>
      </c>
      <c r="L26" s="8">
        <f t="shared" si="7"/>
        <v>73</v>
      </c>
      <c r="M26" s="12">
        <f t="shared" si="8"/>
        <v>318</v>
      </c>
      <c r="N26" s="7">
        <f t="shared" si="9"/>
        <v>183</v>
      </c>
      <c r="O26" s="7">
        <f t="shared" si="10"/>
        <v>190</v>
      </c>
      <c r="P26" s="13">
        <f t="shared" si="11"/>
        <v>109</v>
      </c>
    </row>
    <row r="27" spans="2:16" ht="13.5" thickBot="1">
      <c r="B27" s="44"/>
      <c r="C27" s="3" t="s">
        <v>25</v>
      </c>
      <c r="D27" s="5">
        <v>400</v>
      </c>
      <c r="E27" s="9">
        <f t="shared" si="0"/>
        <v>266</v>
      </c>
      <c r="F27" s="11">
        <f t="shared" si="1"/>
        <v>153</v>
      </c>
      <c r="G27" s="14">
        <f t="shared" si="2"/>
        <v>399</v>
      </c>
      <c r="H27" s="17">
        <f t="shared" si="3"/>
        <v>229.5</v>
      </c>
      <c r="I27" s="9">
        <f t="shared" si="4"/>
        <v>239</v>
      </c>
      <c r="J27" s="10">
        <f t="shared" si="5"/>
        <v>137</v>
      </c>
      <c r="K27" s="10">
        <f t="shared" si="6"/>
        <v>143</v>
      </c>
      <c r="L27" s="11">
        <f t="shared" si="7"/>
        <v>82</v>
      </c>
      <c r="M27" s="14">
        <f t="shared" si="8"/>
        <v>359</v>
      </c>
      <c r="N27" s="10">
        <f t="shared" si="9"/>
        <v>206</v>
      </c>
      <c r="O27" s="10">
        <f t="shared" si="10"/>
        <v>215</v>
      </c>
      <c r="P27" s="15">
        <f t="shared" si="11"/>
        <v>123</v>
      </c>
    </row>
    <row r="28" spans="2:16" ht="13.5" thickTop="1"/>
    <row r="29" spans="2:16" ht="50.25" customHeight="1">
      <c r="C29" s="33" t="s">
        <v>37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</row>
  </sheetData>
  <mergeCells count="17">
    <mergeCell ref="B19:B27"/>
    <mergeCell ref="I2:P2"/>
    <mergeCell ref="E2:H3"/>
    <mergeCell ref="D2:D5"/>
    <mergeCell ref="B2:C5"/>
    <mergeCell ref="B6:B11"/>
    <mergeCell ref="B12:B18"/>
    <mergeCell ref="S3:T3"/>
    <mergeCell ref="I3:L3"/>
    <mergeCell ref="I4:J4"/>
    <mergeCell ref="C29:P29"/>
    <mergeCell ref="K4:L4"/>
    <mergeCell ref="M3:P3"/>
    <mergeCell ref="M4:N4"/>
    <mergeCell ref="O4:P4"/>
    <mergeCell ref="E4:F4"/>
    <mergeCell ref="G4:H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鋼材の基準強度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2011-08-04T16:08:58Z</cp:lastPrinted>
  <dcterms:created xsi:type="dcterms:W3CDTF">2007-05-12T12:08:51Z</dcterms:created>
  <dcterms:modified xsi:type="dcterms:W3CDTF">2023-02-21T06:22:09Z</dcterms:modified>
</cp:coreProperties>
</file>